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71" i="1" l="1"/>
  <c r="D69" i="1"/>
  <c r="D68" i="1"/>
  <c r="E58" i="1"/>
  <c r="D58" i="1"/>
  <c r="E59" i="1"/>
  <c r="D59" i="1"/>
  <c r="E17" i="1"/>
  <c r="D17" i="1"/>
  <c r="E15" i="1"/>
  <c r="D15" i="1"/>
  <c r="E11" i="1"/>
  <c r="E14" i="1"/>
  <c r="E56" i="1" l="1"/>
  <c r="E20" i="1"/>
  <c r="D20" i="1"/>
  <c r="E23" i="1"/>
  <c r="D23" i="1"/>
  <c r="E40" i="1" l="1"/>
  <c r="D40" i="1"/>
  <c r="E30" i="1"/>
  <c r="D30" i="1"/>
  <c r="E39" i="1" l="1"/>
  <c r="E29" i="1"/>
  <c r="D29" i="1"/>
  <c r="E22" i="1"/>
  <c r="D22" i="1"/>
  <c r="E21" i="1"/>
  <c r="D21" i="1"/>
  <c r="E28" i="1"/>
  <c r="D28" i="1"/>
  <c r="E27" i="1"/>
  <c r="D27" i="1"/>
  <c r="E16" i="1" l="1"/>
  <c r="D16" i="1"/>
  <c r="E13" i="1" l="1"/>
  <c r="D13" i="1"/>
  <c r="E12" i="1"/>
  <c r="D12" i="1"/>
  <c r="E55" i="1"/>
  <c r="D55" i="1"/>
  <c r="E24" i="1"/>
  <c r="D24" i="1"/>
  <c r="E25" i="1"/>
  <c r="D25" i="1"/>
  <c r="E42" i="1"/>
  <c r="D42" i="1"/>
  <c r="E41" i="1"/>
  <c r="D41" i="1"/>
  <c r="E54" i="1"/>
  <c r="D54" i="1"/>
  <c r="E35" i="1"/>
  <c r="D35" i="1"/>
  <c r="E53" i="1" l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3" i="1"/>
  <c r="D43" i="1"/>
  <c r="E45" i="1"/>
  <c r="D45" i="1"/>
  <c r="E34" i="1"/>
  <c r="D34" i="1"/>
  <c r="E33" i="1"/>
  <c r="D33" i="1"/>
  <c r="E32" i="1"/>
  <c r="D32" i="1"/>
  <c r="E31" i="1"/>
  <c r="D31" i="1"/>
  <c r="E36" i="1"/>
  <c r="D36" i="1"/>
  <c r="D26" i="1"/>
  <c r="E46" i="1"/>
  <c r="D46" i="1"/>
  <c r="E44" i="1"/>
  <c r="D44" i="1"/>
  <c r="E38" i="1"/>
  <c r="E37" i="1"/>
  <c r="D37" i="1"/>
  <c r="D11" i="1"/>
  <c r="E10" i="1"/>
  <c r="E18" i="1" s="1"/>
  <c r="D10" i="1"/>
  <c r="E60" i="1" l="1"/>
  <c r="D70" i="1"/>
  <c r="E61" i="1" l="1"/>
</calcChain>
</file>

<file path=xl/sharedStrings.xml><?xml version="1.0" encoding="utf-8"?>
<sst xmlns="http://schemas.openxmlformats.org/spreadsheetml/2006/main" count="119" uniqueCount="99">
  <si>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</si>
  <si>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</si>
  <si>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</si>
  <si>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</si>
  <si>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</si>
  <si>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</si>
  <si>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</si>
  <si>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</si>
  <si>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</si>
  <si>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</si>
  <si>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</si>
  <si>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</si>
  <si>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</si>
  <si>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</si>
  <si>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</si>
  <si>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</si>
  <si>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</si>
  <si>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</si>
  <si>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</si>
  <si>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</si>
  <si>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</si>
  <si>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</si>
  <si>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</si>
  <si>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</si>
  <si>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</si>
  <si>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шт</t>
  </si>
  <si>
    <t>100шт приб.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</si>
  <si>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</si>
  <si>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</si>
  <si>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</si>
  <si>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</si>
  <si>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</si>
  <si>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</si>
  <si>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</si>
  <si>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</si>
  <si>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 xml:space="preserve">                                        по улице Заречная</t>
  </si>
  <si>
    <t>100м2</t>
  </si>
  <si>
    <t>100м</t>
  </si>
  <si>
    <t>Короба пластмассовые шириной до 40мм</t>
  </si>
  <si>
    <t>100шт.приборов</t>
  </si>
  <si>
    <t>Врезка в действующие внутренние сети трубопроводов отопления и водоснабжения диам.32мм</t>
  </si>
  <si>
    <t>1 врезка</t>
  </si>
  <si>
    <t>100м2 отремонтированной поверхности</t>
  </si>
  <si>
    <t>Врезка в действующие внутренние сети трубопроводов отопления и водоснабжения диам.15мм</t>
  </si>
  <si>
    <t>мин</t>
  </si>
  <si>
    <t>Услуги трактора,экскаватора-погрузчика,погрузка и вывоз снега со складированием</t>
  </si>
  <si>
    <t>м3</t>
  </si>
  <si>
    <t>Установка и крепление наличников</t>
  </si>
  <si>
    <t>100м коробок блоков</t>
  </si>
  <si>
    <t>1шт.</t>
  </si>
  <si>
    <t>Врезка в действующие внутренние сети трубопроводов отопления и водоснабжения диам.20мм</t>
  </si>
  <si>
    <t>100шт приборов</t>
  </si>
  <si>
    <t>Смена дверных приборов петли</t>
  </si>
  <si>
    <t>Очистка снега с крыш при толщине слоя: свыше 10 ло 20 см(козырьки)</t>
  </si>
  <si>
    <t>Добавлять на каждые следующие 10см увеличения толщины слоя</t>
  </si>
  <si>
    <t>Смена задвижек диаметром 50мм на шаровые краны</t>
  </si>
  <si>
    <t>100штук</t>
  </si>
  <si>
    <t>Установка манометров с трехходовым краном</t>
  </si>
  <si>
    <t>1 компл.</t>
  </si>
  <si>
    <t>имущества МКД, выполненных за 2022  года на жилом доме № 8 корпус 2</t>
  </si>
  <si>
    <t>Укрепление оконных и дверных коробок</t>
  </si>
  <si>
    <t>100коробок</t>
  </si>
  <si>
    <t>Ремонт внутренней поверхности кирпичных стен при глубине заделки в 1 кирпич площадью в одном месте до 1м2</t>
  </si>
  <si>
    <t>Ремонт облицовки из керамических глазурованных плиток на стенах со сменой плиток в одном месте более 10штук</t>
  </si>
  <si>
    <t>Установка дверного доводчика к дверям металлическим</t>
  </si>
  <si>
    <t>Установка клапанов диам.до 50мм</t>
  </si>
  <si>
    <t>Установка замков на почтовые ящики</t>
  </si>
  <si>
    <t>Окраска масляными составами ранее окрашенных поверхностей труб стальных за 1 раз</t>
  </si>
  <si>
    <t>Затирка швов между плитками ранее облицованной поверхности с применением сухой смеси</t>
  </si>
  <si>
    <t>Ремонт штукатурки откосов внутри здания по камню и бетону цементно-известковым раствором</t>
  </si>
  <si>
    <t>Облицовка оконных и дверных откосов декоративных пластиком</t>
  </si>
  <si>
    <t>1 шт.</t>
  </si>
  <si>
    <t>100плиток</t>
  </si>
  <si>
    <t>100м2 облицовки</t>
  </si>
  <si>
    <t>Заделка отверстий,гнезд и борозд в перекрытиях ж/бетонные площадью до 0,1 м2</t>
  </si>
  <si>
    <t>1м3 заделки</t>
  </si>
  <si>
    <t>Наклеивание сетки штукатурной по готовому основанию</t>
  </si>
  <si>
    <t>Окраска водно-дисперсионными акриловыми составами,улучшенная по штукатурке потолков</t>
  </si>
  <si>
    <t>Окраска водно-дисперсионными акриловыми составами,улучшенная по штукатурке стен</t>
  </si>
  <si>
    <t>Установка почтовых ящиков</t>
  </si>
  <si>
    <t>Демонтаж-монтаж двери металлической</t>
  </si>
  <si>
    <t>Ремонт отдельных мест покрытия из листовой кровельной стали :оцинкованной, постановка заплат размером 0,75м2</t>
  </si>
  <si>
    <t>Установка светильников в подвесных потолках</t>
  </si>
  <si>
    <t>Демонтаж светильников в подвесных потолках</t>
  </si>
  <si>
    <t>Простая масляная окраска ранее окрашенных  бордюров без подготовки с расчисткой старой краски до 10% с земли и лесов</t>
  </si>
  <si>
    <t>Врезка в действующие внутренние сети трубопроводов отопления и водоснабжения диам.50мм</t>
  </si>
  <si>
    <t>Механизированная уборка снега на придомовой территории</t>
  </si>
  <si>
    <t>Смена дверных приборов:замки врезные</t>
  </si>
  <si>
    <t>Смена дверных приборов:петли</t>
  </si>
  <si>
    <t>Гидравлическое испытание аппарата с внутренней трубчаткой</t>
  </si>
  <si>
    <t>Очистка внутренней поверхности: теплообменного аппарата</t>
  </si>
  <si>
    <t>Ремонт дверного доводчика</t>
  </si>
  <si>
    <t>100м восстановленной герметизации стыков</t>
  </si>
  <si>
    <t>Ремонт и восстановление герметизации коробок окон и балконных дверей мастикой или монтажной пеной,укладка коврика</t>
  </si>
  <si>
    <t>Механизированная обработка придомовой территории ПСС</t>
  </si>
  <si>
    <t>дом</t>
  </si>
  <si>
    <t>Смена кранов на шаровые краны диам. 15,25,32мм</t>
  </si>
  <si>
    <t>Герметизация отливов кв 150</t>
  </si>
  <si>
    <t>услуга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</si>
</sst>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4"/>
  <sheetViews>
    <sheetView tabSelected="1" zoomScale="124" zoomScaleNormal="124" workbookViewId="0">
      <selection activeCell="E66" sqref="A1:E66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2.42578125" customWidth="1"/>
    <col min="7" max="7" width="10.85546875" customWidth="1"/>
    <col min="9" max="9" width="10.5703125" customWidth="1"/>
    <col min="17" max="17" width="11.4257812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18</v>
      </c>
      <c r="C3" s="3"/>
      <c r="D3" s="3"/>
      <c r="E3" s="3"/>
      <c r="F3" s="1"/>
    </row>
    <row r="4" spans="1:6" ht="15.75" x14ac:dyDescent="0.25">
      <c r="A4" s="4"/>
      <c r="B4" s="3" t="s">
        <v>59</v>
      </c>
      <c r="C4" s="3"/>
      <c r="D4" s="3"/>
      <c r="E4" s="3"/>
      <c r="F4" s="1"/>
    </row>
    <row r="5" spans="1:6" ht="15.75" x14ac:dyDescent="0.25">
      <c r="A5" s="4"/>
      <c r="B5" s="3" t="s">
        <v>35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34</v>
      </c>
      <c r="C10" s="8" t="s">
        <v>12</v>
      </c>
      <c r="D10" s="7">
        <f>0.01</f>
        <v>0.01</v>
      </c>
      <c r="E10" s="7">
        <f>181.8</f>
        <v>181.8</v>
      </c>
      <c r="F10" s="4"/>
    </row>
    <row r="11" spans="1:6" s="1" customFormat="1" ht="47.25" x14ac:dyDescent="0.25">
      <c r="A11" s="7">
        <v>2</v>
      </c>
      <c r="B11" s="8" t="s">
        <v>23</v>
      </c>
      <c r="C11" s="8" t="s">
        <v>24</v>
      </c>
      <c r="D11" s="7">
        <f>0.25</f>
        <v>0.25</v>
      </c>
      <c r="E11" s="19">
        <f>1822.2+1822.2+1857.8+1857.8+1857.8+1857.8+1999.2+1999.2+1999.2+2137.8+2137.8+2137.8</f>
        <v>23486.6</v>
      </c>
      <c r="F11" s="4"/>
    </row>
    <row r="12" spans="1:6" ht="47.25" x14ac:dyDescent="0.25">
      <c r="A12" s="7">
        <v>3</v>
      </c>
      <c r="B12" s="8" t="s">
        <v>14</v>
      </c>
      <c r="C12" s="8" t="s">
        <v>11</v>
      </c>
      <c r="D12" s="7">
        <f>9.6</f>
        <v>9.6</v>
      </c>
      <c r="E12" s="7">
        <f>69567</f>
        <v>69567</v>
      </c>
      <c r="F12" s="4"/>
    </row>
    <row r="13" spans="1:6" ht="47.25" x14ac:dyDescent="0.25">
      <c r="A13" s="7">
        <v>4</v>
      </c>
      <c r="B13" s="8" t="s">
        <v>15</v>
      </c>
      <c r="C13" s="8" t="s">
        <v>11</v>
      </c>
      <c r="D13" s="7">
        <f>1.5</f>
        <v>1.5</v>
      </c>
      <c r="E13" s="7">
        <f>11240</f>
        <v>11240</v>
      </c>
      <c r="F13" s="4"/>
    </row>
    <row r="14" spans="1:6" s="1" customFormat="1" ht="78.75" x14ac:dyDescent="0.25">
      <c r="A14" s="7">
        <v>5</v>
      </c>
      <c r="B14" s="8" t="s">
        <v>19</v>
      </c>
      <c r="C14" s="8" t="s">
        <v>20</v>
      </c>
      <c r="D14" s="7">
        <v>2.036</v>
      </c>
      <c r="E14" s="7">
        <f>7042.6+7042.6+7181.4+7181.4+7181.4+7181.4+7724+7724+7724+8268.4+8268.4+8268.4</f>
        <v>90787.999999999985</v>
      </c>
      <c r="F14" s="4"/>
    </row>
    <row r="15" spans="1:6" s="1" customFormat="1" ht="31.5" x14ac:dyDescent="0.25">
      <c r="A15" s="7">
        <v>6</v>
      </c>
      <c r="B15" s="8" t="s">
        <v>21</v>
      </c>
      <c r="C15" s="8" t="s">
        <v>22</v>
      </c>
      <c r="D15" s="7">
        <f>0.04+0.03+0.02+0.02+0.03+0.04+0.02+0.02+0.04+0.03+0.02+0.04</f>
        <v>0.35000000000000003</v>
      </c>
      <c r="E15" s="7">
        <f>2075.6+1555.4+1058.8+1058.8+1586.2+2116.2+1137.2+1137.2+2274.6-0.6+1827.4+1217.8+2436.8</f>
        <v>19481.400000000001</v>
      </c>
      <c r="F15" s="4"/>
    </row>
    <row r="16" spans="1:6" s="1" customFormat="1" ht="31.5" x14ac:dyDescent="0.25">
      <c r="A16" s="7">
        <v>7</v>
      </c>
      <c r="B16" s="8" t="s">
        <v>88</v>
      </c>
      <c r="C16" s="8" t="s">
        <v>26</v>
      </c>
      <c r="D16" s="7">
        <f>0.02</f>
        <v>0.02</v>
      </c>
      <c r="E16" s="7">
        <f>1713.8</f>
        <v>1713.8</v>
      </c>
      <c r="F16" s="4"/>
    </row>
    <row r="17" spans="1:6" s="1" customFormat="1" ht="31.5" x14ac:dyDescent="0.25">
      <c r="A17" s="7">
        <v>8</v>
      </c>
      <c r="B17" s="8" t="s">
        <v>87</v>
      </c>
      <c r="C17" s="8" t="s">
        <v>26</v>
      </c>
      <c r="D17" s="7">
        <f>0.03+0.03+0.01+0.01</f>
        <v>7.9999999999999988E-2</v>
      </c>
      <c r="E17" s="7">
        <f>2395+2451.8+852.2+892.8</f>
        <v>6591.8</v>
      </c>
      <c r="F17" s="4"/>
    </row>
    <row r="18" spans="1:6" ht="15.75" x14ac:dyDescent="0.25">
      <c r="A18" s="7"/>
      <c r="B18" s="8"/>
      <c r="C18" s="8"/>
      <c r="D18" s="7"/>
      <c r="E18" s="9">
        <f>SUM(E10:E17)</f>
        <v>223050.39999999994</v>
      </c>
      <c r="F18" s="4"/>
    </row>
    <row r="19" spans="1:6" ht="15.75" x14ac:dyDescent="0.25">
      <c r="A19" s="7"/>
      <c r="B19" s="12" t="s">
        <v>10</v>
      </c>
      <c r="C19" s="8"/>
      <c r="D19" s="7"/>
      <c r="E19" s="7"/>
      <c r="F19" s="4"/>
    </row>
    <row r="20" spans="1:6" ht="31.5" x14ac:dyDescent="0.25">
      <c r="A20" s="7">
        <v>1</v>
      </c>
      <c r="B20" s="8" t="s">
        <v>96</v>
      </c>
      <c r="C20" s="8" t="s">
        <v>12</v>
      </c>
      <c r="D20" s="7">
        <f>0.03</f>
        <v>0.03</v>
      </c>
      <c r="E20" s="7">
        <f>3948.4</f>
        <v>3948.4</v>
      </c>
      <c r="F20" s="4"/>
    </row>
    <row r="21" spans="1:6" s="1" customFormat="1" ht="47.25" x14ac:dyDescent="0.25">
      <c r="A21" s="7">
        <v>2</v>
      </c>
      <c r="B21" s="8" t="s">
        <v>43</v>
      </c>
      <c r="C21" s="8" t="s">
        <v>41</v>
      </c>
      <c r="D21" s="7">
        <f>2+4</f>
        <v>6</v>
      </c>
      <c r="E21" s="7">
        <f>10494+22845</f>
        <v>33339</v>
      </c>
      <c r="F21" s="4"/>
    </row>
    <row r="22" spans="1:6" s="1" customFormat="1" ht="47.25" x14ac:dyDescent="0.25">
      <c r="A22" s="7">
        <v>3</v>
      </c>
      <c r="B22" s="8" t="s">
        <v>50</v>
      </c>
      <c r="C22" s="8" t="s">
        <v>41</v>
      </c>
      <c r="D22" s="7">
        <f>4</f>
        <v>4</v>
      </c>
      <c r="E22" s="7">
        <f>22941</f>
        <v>22941</v>
      </c>
      <c r="F22" s="4"/>
    </row>
    <row r="23" spans="1:6" s="1" customFormat="1" ht="47.25" x14ac:dyDescent="0.25">
      <c r="A23" s="7">
        <v>4</v>
      </c>
      <c r="B23" s="8" t="s">
        <v>40</v>
      </c>
      <c r="C23" s="8" t="s">
        <v>41</v>
      </c>
      <c r="D23" s="7">
        <f>2</f>
        <v>2</v>
      </c>
      <c r="E23" s="7">
        <f>12947.6</f>
        <v>12947.6</v>
      </c>
      <c r="F23" s="4"/>
    </row>
    <row r="24" spans="1:6" s="1" customFormat="1" ht="47.25" x14ac:dyDescent="0.25">
      <c r="A24" s="7">
        <v>5</v>
      </c>
      <c r="B24" s="8" t="s">
        <v>85</v>
      </c>
      <c r="C24" s="8" t="s">
        <v>41</v>
      </c>
      <c r="D24" s="7">
        <f>2</f>
        <v>2</v>
      </c>
      <c r="E24" s="7">
        <f>19914.6</f>
        <v>19914.599999999999</v>
      </c>
      <c r="F24" s="4"/>
    </row>
    <row r="25" spans="1:6" s="1" customFormat="1" ht="31.5" x14ac:dyDescent="0.25">
      <c r="A25" s="7">
        <v>6</v>
      </c>
      <c r="B25" s="8" t="s">
        <v>55</v>
      </c>
      <c r="C25" s="8" t="s">
        <v>56</v>
      </c>
      <c r="D25" s="7">
        <f>0.02</f>
        <v>0.02</v>
      </c>
      <c r="E25" s="7">
        <f>29426.2</f>
        <v>29426.2</v>
      </c>
      <c r="F25" s="4"/>
    </row>
    <row r="26" spans="1:6" s="1" customFormat="1" ht="15.75" x14ac:dyDescent="0.25">
      <c r="A26" s="7">
        <v>7</v>
      </c>
      <c r="B26" s="8" t="s">
        <v>65</v>
      </c>
      <c r="C26" s="8" t="s">
        <v>49</v>
      </c>
      <c r="D26" s="7">
        <f>1</f>
        <v>1</v>
      </c>
      <c r="E26" s="7">
        <v>6891.8</v>
      </c>
      <c r="F26" s="4"/>
    </row>
    <row r="27" spans="1:6" s="1" customFormat="1" ht="31.5" x14ac:dyDescent="0.25">
      <c r="A27" s="7">
        <v>8</v>
      </c>
      <c r="B27" s="8" t="s">
        <v>90</v>
      </c>
      <c r="C27" s="8" t="s">
        <v>49</v>
      </c>
      <c r="D27" s="7">
        <f>5</f>
        <v>5</v>
      </c>
      <c r="E27" s="7">
        <f>84379.8</f>
        <v>84379.8</v>
      </c>
      <c r="F27" s="4"/>
    </row>
    <row r="28" spans="1:6" s="1" customFormat="1" ht="31.5" x14ac:dyDescent="0.25">
      <c r="A28" s="7">
        <v>9</v>
      </c>
      <c r="B28" s="8" t="s">
        <v>89</v>
      </c>
      <c r="C28" s="8" t="s">
        <v>49</v>
      </c>
      <c r="D28" s="7">
        <f>5</f>
        <v>5</v>
      </c>
      <c r="E28" s="7">
        <f>31488.8</f>
        <v>31488.799999999999</v>
      </c>
      <c r="F28" s="4"/>
    </row>
    <row r="29" spans="1:6" s="17" customFormat="1" ht="31.5" x14ac:dyDescent="0.25">
      <c r="A29" s="7">
        <v>10</v>
      </c>
      <c r="B29" s="15" t="s">
        <v>57</v>
      </c>
      <c r="C29" s="15" t="s">
        <v>58</v>
      </c>
      <c r="D29" s="14">
        <f>2+2+6</f>
        <v>10</v>
      </c>
      <c r="E29" s="14">
        <f>2226.2+2237.4+6823</f>
        <v>11286.6</v>
      </c>
      <c r="F29" s="16"/>
    </row>
    <row r="30" spans="1:6" s="17" customFormat="1" ht="31.5" x14ac:dyDescent="0.25">
      <c r="A30" s="7">
        <v>11</v>
      </c>
      <c r="B30" s="15" t="s">
        <v>60</v>
      </c>
      <c r="C30" s="15" t="s">
        <v>61</v>
      </c>
      <c r="D30" s="14">
        <f>0.01+0.01</f>
        <v>0.02</v>
      </c>
      <c r="E30" s="14">
        <f>175.6+189</f>
        <v>364.6</v>
      </c>
      <c r="F30" s="16"/>
    </row>
    <row r="31" spans="1:6" s="17" customFormat="1" ht="47.25" x14ac:dyDescent="0.25">
      <c r="A31" s="7">
        <v>12</v>
      </c>
      <c r="B31" s="15" t="s">
        <v>47</v>
      </c>
      <c r="C31" s="15" t="s">
        <v>48</v>
      </c>
      <c r="D31" s="14">
        <f>0.0097</f>
        <v>9.7000000000000003E-3</v>
      </c>
      <c r="E31" s="14">
        <f>63.4</f>
        <v>63.4</v>
      </c>
      <c r="F31" s="16"/>
    </row>
    <row r="32" spans="1:6" s="17" customFormat="1" ht="78.75" x14ac:dyDescent="0.25">
      <c r="A32" s="7">
        <v>13</v>
      </c>
      <c r="B32" s="15" t="s">
        <v>67</v>
      </c>
      <c r="C32" s="15" t="s">
        <v>13</v>
      </c>
      <c r="D32" s="14">
        <f>0.00122</f>
        <v>1.2199999999999999E-3</v>
      </c>
      <c r="E32" s="14">
        <f>53</f>
        <v>53</v>
      </c>
      <c r="F32" s="16"/>
    </row>
    <row r="33" spans="1:6" s="1" customFormat="1" ht="47.25" x14ac:dyDescent="0.25">
      <c r="A33" s="7">
        <v>14</v>
      </c>
      <c r="B33" s="8" t="s">
        <v>68</v>
      </c>
      <c r="C33" s="8" t="s">
        <v>36</v>
      </c>
      <c r="D33" s="7">
        <f>0.09633</f>
        <v>9.6329999999999999E-2</v>
      </c>
      <c r="E33" s="7">
        <f>3304</f>
        <v>3304</v>
      </c>
      <c r="F33" s="4"/>
    </row>
    <row r="34" spans="1:6" s="1" customFormat="1" ht="94.5" x14ac:dyDescent="0.25">
      <c r="A34" s="7">
        <v>15</v>
      </c>
      <c r="B34" s="8" t="s">
        <v>69</v>
      </c>
      <c r="C34" s="8" t="s">
        <v>42</v>
      </c>
      <c r="D34" s="7">
        <f>0.00146</f>
        <v>1.4599999999999999E-3</v>
      </c>
      <c r="E34" s="7">
        <f>421.8</f>
        <v>421.8</v>
      </c>
      <c r="F34" s="4"/>
    </row>
    <row r="35" spans="1:6" s="1" customFormat="1" ht="31.5" x14ac:dyDescent="0.25">
      <c r="A35" s="7">
        <v>16</v>
      </c>
      <c r="B35" s="8" t="s">
        <v>52</v>
      </c>
      <c r="C35" s="8" t="s">
        <v>51</v>
      </c>
      <c r="D35" s="7">
        <f>0.02</f>
        <v>0.02</v>
      </c>
      <c r="E35" s="7">
        <f>1630.4</f>
        <v>1630.4</v>
      </c>
      <c r="F35" s="4"/>
    </row>
    <row r="36" spans="1:6" s="1" customFormat="1" ht="31.5" x14ac:dyDescent="0.25">
      <c r="A36" s="7">
        <v>17</v>
      </c>
      <c r="B36" s="8" t="s">
        <v>66</v>
      </c>
      <c r="C36" s="8" t="s">
        <v>39</v>
      </c>
      <c r="D36" s="7">
        <f>0.126</f>
        <v>0.126</v>
      </c>
      <c r="E36" s="7">
        <f>13942.2</f>
        <v>13942.2</v>
      </c>
      <c r="F36" s="4"/>
    </row>
    <row r="37" spans="1:6" s="1" customFormat="1" ht="31.5" x14ac:dyDescent="0.25">
      <c r="A37" s="7">
        <v>18</v>
      </c>
      <c r="B37" s="8" t="s">
        <v>53</v>
      </c>
      <c r="C37" s="8" t="s">
        <v>36</v>
      </c>
      <c r="D37" s="7">
        <f>0.12</f>
        <v>0.12</v>
      </c>
      <c r="E37" s="7">
        <f>313</f>
        <v>313</v>
      </c>
      <c r="F37" s="4"/>
    </row>
    <row r="38" spans="1:6" s="1" customFormat="1" ht="31.5" x14ac:dyDescent="0.25">
      <c r="A38" s="7">
        <v>19</v>
      </c>
      <c r="B38" s="8" t="s">
        <v>54</v>
      </c>
      <c r="C38" s="8" t="s">
        <v>36</v>
      </c>
      <c r="D38" s="7">
        <v>0.24</v>
      </c>
      <c r="E38" s="7">
        <f>81.4</f>
        <v>81.400000000000006</v>
      </c>
      <c r="F38" s="4"/>
    </row>
    <row r="39" spans="1:6" s="1" customFormat="1" ht="15.75" x14ac:dyDescent="0.25">
      <c r="A39" s="7">
        <v>20</v>
      </c>
      <c r="B39" s="8" t="s">
        <v>91</v>
      </c>
      <c r="C39" s="8" t="s">
        <v>25</v>
      </c>
      <c r="D39" s="7">
        <v>1</v>
      </c>
      <c r="E39" s="7">
        <f>1193.8</f>
        <v>1193.8</v>
      </c>
      <c r="F39" s="4"/>
    </row>
    <row r="40" spans="1:6" s="1" customFormat="1" ht="94.5" x14ac:dyDescent="0.25">
      <c r="A40" s="7">
        <v>21</v>
      </c>
      <c r="B40" s="8" t="s">
        <v>93</v>
      </c>
      <c r="C40" s="8" t="s">
        <v>92</v>
      </c>
      <c r="D40" s="7">
        <f>0.05</f>
        <v>0.05</v>
      </c>
      <c r="E40" s="7">
        <f>8028.6</f>
        <v>8028.6</v>
      </c>
      <c r="F40" s="4"/>
    </row>
    <row r="41" spans="1:6" s="1" customFormat="1" ht="31.5" x14ac:dyDescent="0.25">
      <c r="A41" s="7">
        <v>22</v>
      </c>
      <c r="B41" s="8" t="s">
        <v>83</v>
      </c>
      <c r="C41" s="8" t="s">
        <v>12</v>
      </c>
      <c r="D41" s="7">
        <f>0.06</f>
        <v>0.06</v>
      </c>
      <c r="E41" s="7">
        <f>1516.6</f>
        <v>1516.6</v>
      </c>
      <c r="F41" s="4"/>
    </row>
    <row r="42" spans="1:6" s="1" customFormat="1" ht="31.5" x14ac:dyDescent="0.25">
      <c r="A42" s="7">
        <v>23</v>
      </c>
      <c r="B42" s="8" t="s">
        <v>82</v>
      </c>
      <c r="C42" s="8" t="s">
        <v>12</v>
      </c>
      <c r="D42" s="7">
        <f>0.06</f>
        <v>0.06</v>
      </c>
      <c r="E42" s="7">
        <f>5273.6</f>
        <v>5273.6</v>
      </c>
      <c r="F42" s="4"/>
    </row>
    <row r="43" spans="1:6" s="1" customFormat="1" ht="15.75" x14ac:dyDescent="0.25">
      <c r="A43" s="7">
        <v>24</v>
      </c>
      <c r="B43" s="8" t="s">
        <v>38</v>
      </c>
      <c r="C43" s="8" t="s">
        <v>37</v>
      </c>
      <c r="D43" s="7">
        <f>0.025</f>
        <v>2.5000000000000001E-2</v>
      </c>
      <c r="E43" s="7">
        <f>352</f>
        <v>352</v>
      </c>
      <c r="F43" s="4"/>
    </row>
    <row r="44" spans="1:6" s="1" customFormat="1" ht="94.5" x14ac:dyDescent="0.25">
      <c r="A44" s="7">
        <v>25</v>
      </c>
      <c r="B44" s="20" t="s">
        <v>62</v>
      </c>
      <c r="C44" s="20" t="s">
        <v>42</v>
      </c>
      <c r="D44" s="7">
        <f>0.024</f>
        <v>2.4E-2</v>
      </c>
      <c r="E44" s="7">
        <f>15994.2</f>
        <v>15994.2</v>
      </c>
      <c r="F44" s="4"/>
    </row>
    <row r="45" spans="1:6" s="1" customFormat="1" ht="47.25" x14ac:dyDescent="0.25">
      <c r="A45" s="7">
        <v>26</v>
      </c>
      <c r="B45" s="20" t="s">
        <v>63</v>
      </c>
      <c r="C45" s="7" t="s">
        <v>72</v>
      </c>
      <c r="D45" s="7">
        <f>0.3+0.162</f>
        <v>0.46199999999999997</v>
      </c>
      <c r="E45" s="7">
        <f>4892+2479.2</f>
        <v>7371.2</v>
      </c>
      <c r="F45" s="4"/>
    </row>
    <row r="46" spans="1:6" s="1" customFormat="1" ht="31.5" x14ac:dyDescent="0.25">
      <c r="A46" s="7">
        <v>27</v>
      </c>
      <c r="B46" s="20" t="s">
        <v>64</v>
      </c>
      <c r="C46" s="7" t="s">
        <v>71</v>
      </c>
      <c r="D46" s="7">
        <f>1</f>
        <v>1</v>
      </c>
      <c r="E46" s="7">
        <f>4230.8</f>
        <v>4230.8</v>
      </c>
      <c r="F46" s="4"/>
    </row>
    <row r="47" spans="1:6" s="1" customFormat="1" ht="47.25" x14ac:dyDescent="0.25">
      <c r="A47" s="7">
        <v>28</v>
      </c>
      <c r="B47" s="20" t="s">
        <v>70</v>
      </c>
      <c r="C47" s="20" t="s">
        <v>73</v>
      </c>
      <c r="D47" s="7">
        <f>0.0062</f>
        <v>6.1999999999999998E-3</v>
      </c>
      <c r="E47" s="7">
        <f>917.8</f>
        <v>917.8</v>
      </c>
      <c r="F47" s="4"/>
    </row>
    <row r="48" spans="1:6" s="1" customFormat="1" ht="47.25" x14ac:dyDescent="0.25">
      <c r="A48" s="7">
        <v>29</v>
      </c>
      <c r="B48" s="8" t="s">
        <v>74</v>
      </c>
      <c r="C48" s="20" t="s">
        <v>75</v>
      </c>
      <c r="D48" s="7">
        <f>0.02</f>
        <v>0.02</v>
      </c>
      <c r="E48" s="7">
        <f>848.2</f>
        <v>848.2</v>
      </c>
      <c r="F48" s="4"/>
    </row>
    <row r="49" spans="1:10" s="1" customFormat="1" ht="31.5" x14ac:dyDescent="0.25">
      <c r="A49" s="7">
        <v>30</v>
      </c>
      <c r="B49" s="20" t="s">
        <v>76</v>
      </c>
      <c r="C49" s="7" t="s">
        <v>36</v>
      </c>
      <c r="D49" s="7">
        <f>0.003</f>
        <v>3.0000000000000001E-3</v>
      </c>
      <c r="E49" s="7">
        <f>47.8</f>
        <v>47.8</v>
      </c>
      <c r="F49" s="4"/>
    </row>
    <row r="50" spans="1:10" s="1" customFormat="1" ht="78.75" x14ac:dyDescent="0.25">
      <c r="A50" s="7">
        <v>31</v>
      </c>
      <c r="B50" s="20" t="s">
        <v>77</v>
      </c>
      <c r="C50" s="20" t="s">
        <v>13</v>
      </c>
      <c r="D50" s="7">
        <f>0.01289</f>
        <v>1.289E-2</v>
      </c>
      <c r="E50" s="7">
        <f>684.2</f>
        <v>684.2</v>
      </c>
      <c r="F50" s="4"/>
    </row>
    <row r="51" spans="1:10" s="1" customFormat="1" ht="78.75" x14ac:dyDescent="0.25">
      <c r="A51" s="7">
        <v>32</v>
      </c>
      <c r="B51" s="20" t="s">
        <v>78</v>
      </c>
      <c r="C51" s="20" t="s">
        <v>13</v>
      </c>
      <c r="D51" s="7">
        <f>0.05352</f>
        <v>5.3519999999999998E-2</v>
      </c>
      <c r="E51" s="7">
        <f>1970</f>
        <v>1970</v>
      </c>
      <c r="F51" s="4"/>
    </row>
    <row r="52" spans="1:10" s="1" customFormat="1" ht="15.75" x14ac:dyDescent="0.25">
      <c r="A52" s="7">
        <v>33</v>
      </c>
      <c r="B52" s="7" t="s">
        <v>79</v>
      </c>
      <c r="C52" s="7" t="s">
        <v>25</v>
      </c>
      <c r="D52" s="7">
        <f>2.4</f>
        <v>2.4</v>
      </c>
      <c r="E52" s="7">
        <f>3757.4</f>
        <v>3757.4</v>
      </c>
      <c r="F52" s="4"/>
    </row>
    <row r="53" spans="1:10" s="1" customFormat="1" ht="15.75" x14ac:dyDescent="0.25">
      <c r="A53" s="7">
        <v>34</v>
      </c>
      <c r="B53" s="7" t="s">
        <v>80</v>
      </c>
      <c r="C53" s="7" t="s">
        <v>25</v>
      </c>
      <c r="D53" s="7">
        <f>1</f>
        <v>1</v>
      </c>
      <c r="E53" s="7">
        <f>40971</f>
        <v>40971</v>
      </c>
      <c r="F53" s="4"/>
    </row>
    <row r="54" spans="1:10" s="1" customFormat="1" ht="47.25" x14ac:dyDescent="0.25">
      <c r="A54" s="7">
        <v>35</v>
      </c>
      <c r="B54" s="20" t="s">
        <v>81</v>
      </c>
      <c r="C54" s="7" t="s">
        <v>12</v>
      </c>
      <c r="D54" s="7">
        <f>0.02</f>
        <v>0.02</v>
      </c>
      <c r="E54" s="7">
        <f>1173.8</f>
        <v>1173.8</v>
      </c>
      <c r="F54" s="4"/>
    </row>
    <row r="55" spans="1:10" s="1" customFormat="1" ht="78.75" x14ac:dyDescent="0.25">
      <c r="A55" s="7">
        <v>36</v>
      </c>
      <c r="B55" s="20" t="s">
        <v>84</v>
      </c>
      <c r="C55" s="20" t="s">
        <v>13</v>
      </c>
      <c r="D55" s="7">
        <f>0.07</f>
        <v>7.0000000000000007E-2</v>
      </c>
      <c r="E55" s="7">
        <f>886.8</f>
        <v>886.8</v>
      </c>
      <c r="F55" s="4"/>
    </row>
    <row r="56" spans="1:10" s="1" customFormat="1" ht="15.75" x14ac:dyDescent="0.25">
      <c r="A56" s="7">
        <v>37</v>
      </c>
      <c r="B56" s="8" t="s">
        <v>97</v>
      </c>
      <c r="C56" s="8" t="s">
        <v>98</v>
      </c>
      <c r="D56" s="7">
        <v>1</v>
      </c>
      <c r="E56" s="7">
        <f>12000</f>
        <v>12000</v>
      </c>
      <c r="F56" s="4"/>
    </row>
    <row r="57" spans="1:10" s="1" customFormat="1" ht="31.5" x14ac:dyDescent="0.25">
      <c r="A57" s="7">
        <v>38</v>
      </c>
      <c r="B57" s="8" t="s">
        <v>94</v>
      </c>
      <c r="C57" s="8" t="s">
        <v>95</v>
      </c>
      <c r="D57" s="7">
        <v>1</v>
      </c>
      <c r="E57" s="7">
        <v>800</v>
      </c>
      <c r="F57" s="4"/>
    </row>
    <row r="58" spans="1:10" s="1" customFormat="1" ht="47.25" x14ac:dyDescent="0.25">
      <c r="A58" s="7">
        <v>39</v>
      </c>
      <c r="B58" s="8" t="s">
        <v>45</v>
      </c>
      <c r="C58" s="8" t="s">
        <v>46</v>
      </c>
      <c r="D58" s="7">
        <f>20+100+40</f>
        <v>160</v>
      </c>
      <c r="E58" s="7">
        <f>13000+65000+26000</f>
        <v>104000</v>
      </c>
      <c r="F58" s="4"/>
    </row>
    <row r="59" spans="1:10" s="1" customFormat="1" ht="31.5" x14ac:dyDescent="0.25">
      <c r="A59" s="7">
        <v>40</v>
      </c>
      <c r="B59" s="8" t="s">
        <v>86</v>
      </c>
      <c r="C59" s="8" t="s">
        <v>44</v>
      </c>
      <c r="D59" s="7">
        <f>390+450+60+120+340+220</f>
        <v>1580</v>
      </c>
      <c r="E59" s="7">
        <f>12999+14999+5000+3000+17000+9167</f>
        <v>62165</v>
      </c>
      <c r="F59" s="4"/>
    </row>
    <row r="60" spans="1:10" s="1" customFormat="1" ht="15.75" x14ac:dyDescent="0.25">
      <c r="A60" s="7"/>
      <c r="B60" s="8"/>
      <c r="C60" s="8"/>
      <c r="D60" s="7"/>
      <c r="E60" s="9">
        <f>SUM(E20:E59)</f>
        <v>550920.39999999991</v>
      </c>
      <c r="F60" s="4"/>
    </row>
    <row r="61" spans="1:10" ht="15.75" x14ac:dyDescent="0.25">
      <c r="A61" s="7"/>
      <c r="B61" s="8" t="s">
        <v>8</v>
      </c>
      <c r="C61" s="7"/>
      <c r="D61" s="7"/>
      <c r="E61" s="9">
        <f>E18+E60</f>
        <v>773970.79999999981</v>
      </c>
      <c r="F61" s="4"/>
    </row>
    <row r="62" spans="1:10" ht="15.75" x14ac:dyDescent="0.25">
      <c r="A62" s="7"/>
      <c r="B62" s="8"/>
      <c r="C62" s="7"/>
      <c r="D62" s="7"/>
      <c r="E62" s="7"/>
      <c r="F62" s="4"/>
    </row>
    <row r="63" spans="1:10" ht="15.75" x14ac:dyDescent="0.25">
      <c r="A63" s="10"/>
      <c r="B63" s="10"/>
      <c r="C63" s="10"/>
      <c r="D63" s="10"/>
      <c r="E63" s="10"/>
      <c r="F63" s="4"/>
      <c r="J63" t="s">
        <v>28</v>
      </c>
    </row>
    <row r="64" spans="1:10" ht="15.75" x14ac:dyDescent="0.25">
      <c r="A64" s="10"/>
      <c r="B64" s="10" t="s">
        <v>16</v>
      </c>
      <c r="C64" s="10" t="s">
        <v>30</v>
      </c>
      <c r="D64" s="10"/>
      <c r="E64" s="10"/>
      <c r="F64" s="1"/>
    </row>
    <row r="65" spans="1:7" x14ac:dyDescent="0.25">
      <c r="A65" s="2"/>
      <c r="B65" s="2"/>
      <c r="C65" s="2"/>
      <c r="D65" s="2"/>
      <c r="E65" s="2"/>
      <c r="F65" s="1"/>
    </row>
    <row r="66" spans="1:7" x14ac:dyDescent="0.25">
      <c r="A66" s="2"/>
      <c r="B66" s="2" t="s">
        <v>17</v>
      </c>
      <c r="C66" s="2"/>
      <c r="D66" s="18"/>
      <c r="E66" s="2"/>
      <c r="F66" s="13"/>
      <c r="G66" s="13"/>
    </row>
    <row r="67" spans="1:7" x14ac:dyDescent="0.25">
      <c r="A67" s="2"/>
      <c r="B67" s="2"/>
      <c r="C67" s="2"/>
      <c r="D67" s="2"/>
      <c r="E67" s="2"/>
      <c r="F67" s="13"/>
      <c r="G67" s="13"/>
    </row>
    <row r="68" spans="1:7" x14ac:dyDescent="0.25">
      <c r="A68" s="2"/>
      <c r="B68" s="2"/>
      <c r="C68" s="2" t="s">
        <v>31</v>
      </c>
      <c r="D68" s="18">
        <f>11122.2+12815.2+12549.8+10098+10625.4+11155.4+91667.4+13426.4+11997.8+12233.6+11624+13735.8</f>
        <v>223050.99999999997</v>
      </c>
      <c r="E68" s="18"/>
      <c r="G68" s="13"/>
    </row>
    <row r="69" spans="1:7" x14ac:dyDescent="0.25">
      <c r="A69" s="2"/>
      <c r="B69" s="2"/>
      <c r="C69" s="2" t="s">
        <v>32</v>
      </c>
      <c r="D69" s="18">
        <f>26174.6+107736.6+78941.2+2804.2+6789.6+60721.6+0+169671.4+8217.6+0+37696+52167</f>
        <v>550919.80000000005</v>
      </c>
      <c r="E69" s="2"/>
    </row>
    <row r="70" spans="1:7" x14ac:dyDescent="0.25">
      <c r="A70" s="2"/>
      <c r="B70" s="2"/>
      <c r="C70" s="2"/>
      <c r="D70" s="18">
        <f>D68+D69</f>
        <v>773970.8</v>
      </c>
      <c r="E70" s="18"/>
      <c r="G70" s="13"/>
    </row>
    <row r="71" spans="1:7" x14ac:dyDescent="0.25">
      <c r="A71" s="2"/>
      <c r="B71" s="2"/>
      <c r="C71" s="2" t="s">
        <v>33</v>
      </c>
      <c r="D71" s="18">
        <f>37296.8+120551.8+91491+12902.2+17415+71877+91667.4+183097.8+20215.4+12233.6+49320+65902.8</f>
        <v>773970.8</v>
      </c>
      <c r="E71" s="2"/>
      <c r="F71" s="13"/>
    </row>
    <row r="72" spans="1:7" x14ac:dyDescent="0.25">
      <c r="A72" s="2"/>
      <c r="B72" s="2"/>
      <c r="C72" s="2"/>
      <c r="D72" s="2"/>
      <c r="E72" s="2"/>
    </row>
    <row r="1142" spans="7:7" x14ac:dyDescent="0.25">
      <c r="G1142" t="s">
        <v>29</v>
      </c>
    </row>
    <row r="1144" spans="7:7" x14ac:dyDescent="0.25">
      <c r="G1144" t="s">
        <v>27</v>
      </c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2023-01-20T11:41:49Z</cp:lastPrinted>
  <dcterms:created xsi:type="dcterms:W3CDTF">2016-09-29T06:37:31Z</dcterms:created>
  <dcterms:modified xsi:type="dcterms:W3CDTF">2023-01-20T11:42:00Z</dcterms:modified>
</cp:coreProperties>
</file>