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3" i="1" l="1"/>
  <c r="E51" i="1"/>
  <c r="D51" i="1"/>
  <c r="E52" i="1"/>
  <c r="D52" i="1"/>
  <c r="E46" i="1"/>
  <c r="D46" i="1"/>
  <c r="E44" i="1"/>
  <c r="D44" i="1"/>
  <c r="E41" i="1"/>
  <c r="D41" i="1"/>
  <c r="E29" i="1"/>
  <c r="D29" i="1"/>
  <c r="E38" i="1"/>
  <c r="D38" i="1"/>
  <c r="E11" i="1"/>
  <c r="E10" i="1"/>
  <c r="D10" i="1"/>
  <c r="D23" i="1"/>
  <c r="E25" i="1"/>
  <c r="D25" i="1"/>
  <c r="E22" i="1"/>
  <c r="E14" i="1"/>
  <c r="D14" i="1"/>
  <c r="D65" i="1"/>
  <c r="D63" i="1"/>
  <c r="D62" i="1"/>
  <c r="E45" i="1" l="1"/>
  <c r="D45" i="1"/>
  <c r="E47" i="1"/>
  <c r="D47" i="1"/>
  <c r="E34" i="1"/>
  <c r="D34" i="1"/>
  <c r="E39" i="1"/>
  <c r="D39" i="1"/>
  <c r="E42" i="1" l="1"/>
  <c r="D42" i="1"/>
  <c r="E30" i="1" l="1"/>
  <c r="D30" i="1"/>
  <c r="E28" i="1"/>
  <c r="D28" i="1"/>
  <c r="E21" i="1"/>
  <c r="E20" i="1"/>
  <c r="D20" i="1"/>
  <c r="E19" i="1"/>
  <c r="D19" i="1"/>
  <c r="E18" i="1"/>
  <c r="D18" i="1"/>
  <c r="E17" i="1"/>
  <c r="D17" i="1"/>
  <c r="E16" i="1"/>
  <c r="D16" i="1"/>
  <c r="E15" i="1"/>
  <c r="D15" i="1"/>
  <c r="E40" i="1" l="1"/>
  <c r="D40" i="1"/>
  <c r="E36" i="1"/>
  <c r="D36" i="1"/>
  <c r="E35" i="1"/>
  <c r="D35" i="1"/>
  <c r="E33" i="1" l="1"/>
  <c r="D33" i="1"/>
  <c r="E43" i="1"/>
  <c r="D43" i="1"/>
  <c r="E49" i="1" l="1"/>
  <c r="D49" i="1"/>
  <c r="E48" i="1"/>
  <c r="D48" i="1"/>
  <c r="E13" i="1"/>
  <c r="D13" i="1"/>
  <c r="E12" i="1"/>
  <c r="D12" i="1"/>
  <c r="E31" i="1"/>
  <c r="E53" i="1" s="1"/>
  <c r="D31" i="1"/>
  <c r="E24" i="1"/>
  <c r="D24" i="1"/>
  <c r="E26" i="1" l="1"/>
  <c r="D64" i="1"/>
  <c r="E54" i="1" l="1"/>
</calcChain>
</file>

<file path=xl/sharedStrings.xml><?xml version="1.0" encoding="utf-8"?>
<sst xmlns="http://schemas.openxmlformats.org/spreadsheetml/2006/main" count="106" uniqueCount="87">
  <si>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</si>
  <si>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</si>
  <si>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</si>
  <si>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</si>
  <si>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</si>
  <si>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</si>
  <si>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</si>
  <si>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</si>
  <si>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</si>
  <si>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</si>
  <si>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</si>
  <si>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</si>
  <si>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</si>
  <si>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</si>
  <si>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</si>
  <si>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</si>
  <si>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</si>
  <si>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</si>
  <si>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</si>
  <si>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</si>
  <si>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</si>
  <si>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</si>
  <si>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</si>
  <si>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</si>
  <si>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</si>
  <si>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</si>
  <si>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</si>
  <si>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100 сгонов</t>
  </si>
  <si>
    <t>шт</t>
  </si>
  <si>
    <t>Очистка канализационной сети внутренней</t>
  </si>
  <si>
    <t>100м3 воды</t>
  </si>
  <si>
    <t>,</t>
  </si>
  <si>
    <t>1шт.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</si>
  <si>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</si>
  <si>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</si>
  <si>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</si>
  <si>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</si>
  <si>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</si>
  <si>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</si>
  <si>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</si>
  <si>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1 врезка</t>
  </si>
  <si>
    <t>Водоотлив  из подвала электрическими насосами</t>
  </si>
  <si>
    <t>Врезка в действующие внутренние сети трубопроводов отопления и водоснабжения диам.15мм</t>
  </si>
  <si>
    <t>Врезка в действующие внутренние сети трубопроводов отопления и водоснабжения диам.20мм</t>
  </si>
  <si>
    <t>Усиление сварных швов наплавкой</t>
  </si>
  <si>
    <t>1м шва</t>
  </si>
  <si>
    <t>Смена сгонов у трубопроводов диам. до 32 мм</t>
  </si>
  <si>
    <t>Гидравлическое испытание аппарата с внутренней трубчаткой</t>
  </si>
  <si>
    <t xml:space="preserve">                                        по улице Талсинская </t>
  </si>
  <si>
    <t>Врезка в действующие внутренние сети трубопроводов отопления и водоснабжения диам.25мм</t>
  </si>
  <si>
    <t>Смена внутренних трубопроводов  с заготовкой труб в построечных условиях  диам.до 50мм</t>
  </si>
  <si>
    <t>100шт.приб.</t>
  </si>
  <si>
    <t>Ремонт штукатурки гладких фасадов по камню и бетону</t>
  </si>
  <si>
    <t>100м2 отремон.поверхности</t>
  </si>
  <si>
    <t>Смена внутренних трубопроводов  с заготовкой труб в построечных условиях  диам.до 32мм</t>
  </si>
  <si>
    <t xml:space="preserve">                                                                 </t>
  </si>
  <si>
    <t>Механизированная уборка снега на придомовой территории</t>
  </si>
  <si>
    <t>мин</t>
  </si>
  <si>
    <t>Услуги трактора,экскаватора-погрузчика,погрузка и вывоз снега со складированием</t>
  </si>
  <si>
    <t>м3</t>
  </si>
  <si>
    <t>100м2 остекления</t>
  </si>
  <si>
    <t>Установка реек добора</t>
  </si>
  <si>
    <t>Смена кранов на шаровые краны диам.15,20,25 мм</t>
  </si>
  <si>
    <t>100м трубопровода с фасонными частями</t>
  </si>
  <si>
    <t>Смена оконных приборов пружины</t>
  </si>
  <si>
    <t>100шт.</t>
  </si>
  <si>
    <t>имущества МКД, выполненных за 2022  года на жилом доме № 24а</t>
  </si>
  <si>
    <t>Смена трубопроводов из полиэтиленовых канализационных труб диаметром до 100мм</t>
  </si>
  <si>
    <t>Смена стекол толщиной 2-3 мм площадью до 1,0м2</t>
  </si>
  <si>
    <t>Смена стекол толщиной 2-3 мм площадью до 0,5 м2</t>
  </si>
  <si>
    <t>Смена задвижек диам.100мм на шаровые краны диам.80мм</t>
  </si>
  <si>
    <t>Установка контейнеров ТКО-0,4м3 с крышкой</t>
  </si>
  <si>
    <t xml:space="preserve">Очистка внутренней поверхности:теплообменного аппарата </t>
  </si>
  <si>
    <t>Демонтаж грязевиков</t>
  </si>
  <si>
    <t>Установка грязевиков наружным диаметром патрубков до 89мм</t>
  </si>
  <si>
    <t>Прочистка фильтров диаметром до 80мм</t>
  </si>
  <si>
    <t>10шт.</t>
  </si>
  <si>
    <t>Прочистка фильтров диаметром до 100мм</t>
  </si>
  <si>
    <t>Установка сопла</t>
  </si>
  <si>
    <t>Демонтаж элеваторов</t>
  </si>
  <si>
    <t>Установка элеваторов после прочистки</t>
  </si>
  <si>
    <t>Выполнение работы(оказание услуги) по организации государственной поверки приборов учета тепловой энергии</t>
  </si>
  <si>
    <t>услуга</t>
  </si>
  <si>
    <t>Смена водомера</t>
  </si>
  <si>
    <t>Ремонт приемного клапана мусоропровода</t>
  </si>
  <si>
    <t>Механизированная обработка придомовой территории ПСС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</si>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</sst>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3"/>
  <sheetViews>
    <sheetView tabSelected="1" zoomScale="124" zoomScaleNormal="124" workbookViewId="0">
      <selection activeCell="E60" sqref="A1:E60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1.42578125" customWidth="1"/>
    <col min="5" max="5" width="16.7109375" customWidth="1"/>
    <col min="7" max="7" width="11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20</v>
      </c>
      <c r="C3" s="3"/>
      <c r="D3" s="3"/>
      <c r="E3" s="3"/>
      <c r="F3" s="1"/>
    </row>
    <row r="4" spans="1:6" ht="15.75" x14ac:dyDescent="0.25">
      <c r="A4" s="4"/>
      <c r="B4" s="3" t="s">
        <v>66</v>
      </c>
      <c r="C4" s="3"/>
      <c r="D4" s="3"/>
      <c r="E4" s="3"/>
      <c r="F4" s="1"/>
    </row>
    <row r="5" spans="1:6" ht="15.75" x14ac:dyDescent="0.25">
      <c r="A5" s="4"/>
      <c r="B5" s="3" t="s">
        <v>48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39</v>
      </c>
      <c r="C10" s="8" t="s">
        <v>12</v>
      </c>
      <c r="D10" s="7">
        <f>0.01+0.01+0.01+0.01+0.06+0.04</f>
        <v>0.14000000000000001</v>
      </c>
      <c r="E10" s="7">
        <f>156.6+156.4+161.8+161.8+994+662.2</f>
        <v>2292.8000000000002</v>
      </c>
      <c r="F10" s="4"/>
    </row>
    <row r="11" spans="1:6" s="1" customFormat="1" ht="47.25" x14ac:dyDescent="0.25">
      <c r="A11" s="7">
        <v>2</v>
      </c>
      <c r="B11" s="8" t="s">
        <v>25</v>
      </c>
      <c r="C11" s="8" t="s">
        <v>26</v>
      </c>
      <c r="D11" s="7">
        <v>0.56000000000000005</v>
      </c>
      <c r="E11" s="7">
        <f>5478.6+1848.6+1848.6+1848.6+1990+1990+1990+2127.6+2127.6+2127.6</f>
        <v>23377.199999999997</v>
      </c>
      <c r="F11" s="4"/>
    </row>
    <row r="12" spans="1:6" ht="47.25" x14ac:dyDescent="0.25">
      <c r="A12" s="7">
        <v>3</v>
      </c>
      <c r="B12" s="8" t="s">
        <v>13</v>
      </c>
      <c r="C12" s="8" t="s">
        <v>11</v>
      </c>
      <c r="D12" s="7">
        <f>47.45</f>
        <v>47.45</v>
      </c>
      <c r="E12" s="7">
        <f>327682.4</f>
        <v>327682.40000000002</v>
      </c>
      <c r="F12" s="4"/>
    </row>
    <row r="13" spans="1:6" ht="47.25" x14ac:dyDescent="0.25">
      <c r="A13" s="7">
        <v>4</v>
      </c>
      <c r="B13" s="8" t="s">
        <v>14</v>
      </c>
      <c r="C13" s="8" t="s">
        <v>11</v>
      </c>
      <c r="D13" s="7">
        <f>3.645</f>
        <v>3.645</v>
      </c>
      <c r="E13" s="7">
        <f>25502.8</f>
        <v>25502.799999999999</v>
      </c>
      <c r="F13" s="4"/>
    </row>
    <row r="14" spans="1:6" s="1" customFormat="1" ht="31.5" x14ac:dyDescent="0.25">
      <c r="A14" s="7">
        <v>5</v>
      </c>
      <c r="B14" s="8" t="s">
        <v>15</v>
      </c>
      <c r="C14" s="8" t="s">
        <v>12</v>
      </c>
      <c r="D14" s="7">
        <f>0.1+0.01+0.05+0.02+0.01+0.01</f>
        <v>0.2</v>
      </c>
      <c r="E14" s="7">
        <f>9795.8+1160.4+5791.4+2402.2+1256.4+1256.4</f>
        <v>21662.600000000002</v>
      </c>
      <c r="F14" s="4"/>
    </row>
    <row r="15" spans="1:6" s="1" customFormat="1" ht="15.75" x14ac:dyDescent="0.25">
      <c r="A15" s="7">
        <v>6</v>
      </c>
      <c r="B15" s="8" t="s">
        <v>73</v>
      </c>
      <c r="C15" s="8" t="s">
        <v>12</v>
      </c>
      <c r="D15" s="7">
        <f>0.04</f>
        <v>0.04</v>
      </c>
      <c r="E15" s="7">
        <f>4837.6</f>
        <v>4837.6000000000004</v>
      </c>
      <c r="F15" s="4"/>
    </row>
    <row r="16" spans="1:6" s="1" customFormat="1" ht="31.5" x14ac:dyDescent="0.25">
      <c r="A16" s="7">
        <v>7</v>
      </c>
      <c r="B16" s="8" t="s">
        <v>74</v>
      </c>
      <c r="C16" s="8" t="s">
        <v>32</v>
      </c>
      <c r="D16" s="7">
        <f>4</f>
        <v>4</v>
      </c>
      <c r="E16" s="7">
        <f>18376.4</f>
        <v>18376.400000000001</v>
      </c>
      <c r="F16" s="4"/>
    </row>
    <row r="17" spans="1:9" s="1" customFormat="1" ht="15.75" x14ac:dyDescent="0.25">
      <c r="A17" s="7">
        <v>8</v>
      </c>
      <c r="B17" s="8" t="s">
        <v>75</v>
      </c>
      <c r="C17" s="8" t="s">
        <v>76</v>
      </c>
      <c r="D17" s="7">
        <f>0.2</f>
        <v>0.2</v>
      </c>
      <c r="E17" s="7">
        <f>3883</f>
        <v>3883</v>
      </c>
      <c r="F17" s="4"/>
    </row>
    <row r="18" spans="1:9" s="1" customFormat="1" ht="15.75" x14ac:dyDescent="0.25">
      <c r="A18" s="7">
        <v>9</v>
      </c>
      <c r="B18" s="8" t="s">
        <v>77</v>
      </c>
      <c r="C18" s="8" t="s">
        <v>76</v>
      </c>
      <c r="D18" s="7">
        <f>0.2</f>
        <v>0.2</v>
      </c>
      <c r="E18" s="7">
        <f>4582.2</f>
        <v>4582.2</v>
      </c>
      <c r="F18" s="4"/>
    </row>
    <row r="19" spans="1:9" s="1" customFormat="1" ht="15.75" x14ac:dyDescent="0.25">
      <c r="A19" s="7">
        <v>10</v>
      </c>
      <c r="B19" s="8" t="s">
        <v>78</v>
      </c>
      <c r="C19" s="8" t="s">
        <v>65</v>
      </c>
      <c r="D19" s="7">
        <f>0.01</f>
        <v>0.01</v>
      </c>
      <c r="E19" s="7">
        <f>1201</f>
        <v>1201</v>
      </c>
      <c r="F19" s="4"/>
    </row>
    <row r="20" spans="1:9" s="1" customFormat="1" ht="15.75" x14ac:dyDescent="0.25">
      <c r="A20" s="7">
        <v>11</v>
      </c>
      <c r="B20" s="8" t="s">
        <v>79</v>
      </c>
      <c r="C20" s="8" t="s">
        <v>12</v>
      </c>
      <c r="D20" s="7">
        <f>0.01</f>
        <v>0.01</v>
      </c>
      <c r="E20" s="7">
        <f>767</f>
        <v>767</v>
      </c>
      <c r="F20" s="4"/>
    </row>
    <row r="21" spans="1:9" s="1" customFormat="1" ht="15.75" x14ac:dyDescent="0.25">
      <c r="A21" s="7">
        <v>12</v>
      </c>
      <c r="B21" s="8" t="s">
        <v>80</v>
      </c>
      <c r="C21" s="8" t="s">
        <v>76</v>
      </c>
      <c r="D21" s="7">
        <v>0.1</v>
      </c>
      <c r="E21" s="7">
        <f>3062.8</f>
        <v>3062.8</v>
      </c>
      <c r="F21" s="4"/>
    </row>
    <row r="22" spans="1:9" s="1" customFormat="1" ht="78.75" x14ac:dyDescent="0.25">
      <c r="A22" s="7">
        <v>13</v>
      </c>
      <c r="B22" s="8" t="s">
        <v>21</v>
      </c>
      <c r="C22" s="8" t="s">
        <v>22</v>
      </c>
      <c r="D22" s="7">
        <v>3.173</v>
      </c>
      <c r="E22" s="7">
        <f>33143.2+11192+11192+11192+12037.6+12037.6+12037.6+12882.8+12882.8+12882.8</f>
        <v>141480.40000000002</v>
      </c>
      <c r="F22" s="4"/>
    </row>
    <row r="23" spans="1:9" s="1" customFormat="1" ht="31.5" x14ac:dyDescent="0.25">
      <c r="A23" s="7">
        <v>14</v>
      </c>
      <c r="B23" s="8" t="s">
        <v>23</v>
      </c>
      <c r="C23" s="8" t="s">
        <v>24</v>
      </c>
      <c r="D23" s="7">
        <f>0.07+0.03+0.04+0.04+0.06+0.02+0.01+0.01+0.04+2436.8</f>
        <v>2437.1200000000003</v>
      </c>
      <c r="E23" s="7">
        <f>3641.2+1586.2+2116+2116.2+3412.8+1137.2+570.6+609.4+2436.8+2437.8-0.4</f>
        <v>20063.799999999996</v>
      </c>
      <c r="F23" s="4"/>
    </row>
    <row r="24" spans="1:9" s="1" customFormat="1" ht="47.25" x14ac:dyDescent="0.25">
      <c r="A24" s="7">
        <v>15</v>
      </c>
      <c r="B24" s="8" t="s">
        <v>29</v>
      </c>
      <c r="C24" s="8" t="s">
        <v>11</v>
      </c>
      <c r="D24" s="7">
        <f>0.01</f>
        <v>0.01</v>
      </c>
      <c r="E24" s="7">
        <f>2573</f>
        <v>2573</v>
      </c>
      <c r="F24" s="4"/>
    </row>
    <row r="25" spans="1:9" s="1" customFormat="1" ht="31.5" x14ac:dyDescent="0.25">
      <c r="A25" s="7">
        <v>16</v>
      </c>
      <c r="B25" s="8" t="s">
        <v>41</v>
      </c>
      <c r="C25" s="8" t="s">
        <v>30</v>
      </c>
      <c r="D25" s="7">
        <f>0.1+0.2+0.04+0.14+0.06+0.08+0.18+0.06</f>
        <v>0.8600000000000001</v>
      </c>
      <c r="E25" s="7">
        <f>492.2+984.4+197+688.4+316.8+452.8+1018+340.4</f>
        <v>4490</v>
      </c>
      <c r="F25" s="4"/>
    </row>
    <row r="26" spans="1:9" ht="15.75" x14ac:dyDescent="0.25">
      <c r="A26" s="7"/>
      <c r="B26" s="8"/>
      <c r="C26" s="8"/>
      <c r="D26" s="7"/>
      <c r="E26" s="9">
        <f>SUM(E10:E25)</f>
        <v>605835</v>
      </c>
      <c r="F26" s="4"/>
    </row>
    <row r="27" spans="1:9" ht="15.75" x14ac:dyDescent="0.25">
      <c r="A27" s="7"/>
      <c r="B27" s="12" t="s">
        <v>10</v>
      </c>
      <c r="C27" s="8"/>
      <c r="D27" s="7"/>
      <c r="E27" s="7"/>
      <c r="F27" s="4"/>
    </row>
    <row r="28" spans="1:9" s="1" customFormat="1" ht="47.25" x14ac:dyDescent="0.25">
      <c r="A28" s="7">
        <v>1</v>
      </c>
      <c r="B28" s="8" t="s">
        <v>81</v>
      </c>
      <c r="C28" s="8" t="s">
        <v>82</v>
      </c>
      <c r="D28" s="7">
        <f>1</f>
        <v>1</v>
      </c>
      <c r="E28" s="7">
        <f>67200</f>
        <v>67200</v>
      </c>
      <c r="F28" s="4"/>
    </row>
    <row r="29" spans="1:9" ht="31.5" x14ac:dyDescent="0.25">
      <c r="A29" s="7">
        <v>2</v>
      </c>
      <c r="B29" s="8" t="s">
        <v>62</v>
      </c>
      <c r="C29" s="8" t="s">
        <v>12</v>
      </c>
      <c r="D29" s="7">
        <f>0.09+0.01+0.01+0.02+0.07+0.04+0.02+0.02+0.01+0.02+0.02</f>
        <v>0.33000000000000007</v>
      </c>
      <c r="E29" s="15">
        <f>9430+1197.6+986.4+1971.8+8375.6+4923+2159+4862.6-0.4+1081+2280.8+2584.4</f>
        <v>39851.800000000003</v>
      </c>
      <c r="F29" s="4"/>
    </row>
    <row r="30" spans="1:9" s="1" customFormat="1" ht="15.75" x14ac:dyDescent="0.25">
      <c r="A30" s="7">
        <v>3</v>
      </c>
      <c r="B30" s="8" t="s">
        <v>18</v>
      </c>
      <c r="C30" s="8" t="s">
        <v>19</v>
      </c>
      <c r="D30" s="7">
        <f>10+8</f>
        <v>18</v>
      </c>
      <c r="E30" s="17">
        <f>11367.4+9097</f>
        <v>20464.400000000001</v>
      </c>
      <c r="F30" s="4"/>
      <c r="I30" s="1" t="s">
        <v>55</v>
      </c>
    </row>
    <row r="31" spans="1:9" s="1" customFormat="1" ht="47.25" x14ac:dyDescent="0.25">
      <c r="A31" s="7">
        <v>4</v>
      </c>
      <c r="B31" s="8" t="s">
        <v>54</v>
      </c>
      <c r="C31" s="8" t="s">
        <v>11</v>
      </c>
      <c r="D31" s="7">
        <f>0.02</f>
        <v>0.02</v>
      </c>
      <c r="E31" s="7">
        <f>1995.4</f>
        <v>1995.4</v>
      </c>
      <c r="F31" s="4"/>
    </row>
    <row r="32" spans="1:9" s="1" customFormat="1" ht="47.25" x14ac:dyDescent="0.25">
      <c r="A32" s="7">
        <v>5</v>
      </c>
      <c r="B32" s="8" t="s">
        <v>50</v>
      </c>
      <c r="C32" s="8" t="s">
        <v>11</v>
      </c>
      <c r="D32" s="7">
        <v>0.02</v>
      </c>
      <c r="E32" s="7">
        <v>2657.6</v>
      </c>
      <c r="F32" s="4"/>
    </row>
    <row r="33" spans="1:6" s="1" customFormat="1" ht="31.5" x14ac:dyDescent="0.25">
      <c r="A33" s="7">
        <v>6</v>
      </c>
      <c r="B33" s="8" t="s">
        <v>70</v>
      </c>
      <c r="C33" s="8" t="s">
        <v>12</v>
      </c>
      <c r="D33" s="7">
        <f>0.01</f>
        <v>0.01</v>
      </c>
      <c r="E33" s="7">
        <f>26706</f>
        <v>26706</v>
      </c>
      <c r="F33" s="4"/>
    </row>
    <row r="34" spans="1:6" s="1" customFormat="1" ht="15.75" x14ac:dyDescent="0.25">
      <c r="A34" s="7">
        <v>7</v>
      </c>
      <c r="B34" s="8" t="s">
        <v>83</v>
      </c>
      <c r="C34" s="8" t="s">
        <v>12</v>
      </c>
      <c r="D34" s="7">
        <f>0.01</f>
        <v>0.01</v>
      </c>
      <c r="E34" s="7">
        <f>22984.2</f>
        <v>22984.2</v>
      </c>
      <c r="F34" s="4"/>
    </row>
    <row r="35" spans="1:6" s="1" customFormat="1" ht="31.5" x14ac:dyDescent="0.25">
      <c r="A35" s="7">
        <v>8</v>
      </c>
      <c r="B35" s="8" t="s">
        <v>72</v>
      </c>
      <c r="C35" s="8" t="s">
        <v>28</v>
      </c>
      <c r="D35" s="7">
        <f>4</f>
        <v>4</v>
      </c>
      <c r="E35" s="7">
        <f>72897</f>
        <v>72897</v>
      </c>
      <c r="F35" s="4"/>
    </row>
    <row r="36" spans="1:6" s="1" customFormat="1" ht="31.5" x14ac:dyDescent="0.25">
      <c r="A36" s="7">
        <v>9</v>
      </c>
      <c r="B36" s="8" t="s">
        <v>47</v>
      </c>
      <c r="C36" s="8" t="s">
        <v>32</v>
      </c>
      <c r="D36" s="7">
        <f>7</f>
        <v>7</v>
      </c>
      <c r="E36" s="7">
        <f>25194</f>
        <v>25194</v>
      </c>
      <c r="F36" s="4"/>
    </row>
    <row r="37" spans="1:6" s="1" customFormat="1" ht="31.5" x14ac:dyDescent="0.25">
      <c r="A37" s="7">
        <v>10</v>
      </c>
      <c r="B37" s="8" t="s">
        <v>46</v>
      </c>
      <c r="C37" s="8" t="s">
        <v>27</v>
      </c>
      <c r="D37" s="7">
        <v>0.02</v>
      </c>
      <c r="E37" s="7">
        <v>1168</v>
      </c>
      <c r="F37" s="4"/>
    </row>
    <row r="38" spans="1:6" s="1" customFormat="1" ht="47.25" x14ac:dyDescent="0.25">
      <c r="A38" s="7">
        <v>11</v>
      </c>
      <c r="B38" s="8" t="s">
        <v>49</v>
      </c>
      <c r="C38" s="8" t="s">
        <v>40</v>
      </c>
      <c r="D38" s="7">
        <f>2+4+4+2</f>
        <v>12</v>
      </c>
      <c r="E38" s="7">
        <f>10561.6+21588.4+23453.4+12476</f>
        <v>68079.399999999994</v>
      </c>
      <c r="F38" s="4"/>
    </row>
    <row r="39" spans="1:6" s="1" customFormat="1" ht="47.25" x14ac:dyDescent="0.25">
      <c r="A39" s="7">
        <v>12</v>
      </c>
      <c r="B39" s="8" t="s">
        <v>43</v>
      </c>
      <c r="C39" s="8" t="s">
        <v>40</v>
      </c>
      <c r="D39" s="7">
        <f>2+2+1+2</f>
        <v>7</v>
      </c>
      <c r="E39" s="7">
        <f>10605.6+11469+5736+12219.2</f>
        <v>40029.800000000003</v>
      </c>
      <c r="F39" s="4"/>
    </row>
    <row r="40" spans="1:6" s="1" customFormat="1" ht="47.25" x14ac:dyDescent="0.25">
      <c r="A40" s="7">
        <v>13</v>
      </c>
      <c r="B40" s="8" t="s">
        <v>42</v>
      </c>
      <c r="C40" s="8" t="s">
        <v>40</v>
      </c>
      <c r="D40" s="7">
        <f>1+2+1+4+2</f>
        <v>10</v>
      </c>
      <c r="E40" s="7">
        <f>5247.6+10494+5247.6+20986.6+11421</f>
        <v>53396.800000000003</v>
      </c>
      <c r="F40" s="4"/>
    </row>
    <row r="41" spans="1:6" s="1" customFormat="1" ht="94.5" x14ac:dyDescent="0.25">
      <c r="A41" s="7">
        <v>14</v>
      </c>
      <c r="B41" s="8" t="s">
        <v>67</v>
      </c>
      <c r="C41" s="8" t="s">
        <v>63</v>
      </c>
      <c r="D41" s="7">
        <f>0.01+0.1+0.01</f>
        <v>0.12</v>
      </c>
      <c r="E41" s="7">
        <f>1384.6+13849.6+1189</f>
        <v>16423.2</v>
      </c>
      <c r="F41" s="4"/>
    </row>
    <row r="42" spans="1:6" s="1" customFormat="1" ht="63" x14ac:dyDescent="0.25">
      <c r="A42" s="7">
        <v>15</v>
      </c>
      <c r="B42" s="8" t="s">
        <v>52</v>
      </c>
      <c r="C42" s="8" t="s">
        <v>53</v>
      </c>
      <c r="D42" s="7">
        <f>0.03</f>
        <v>0.03</v>
      </c>
      <c r="E42" s="7">
        <f>5414.2</f>
        <v>5414.2</v>
      </c>
      <c r="F42" s="4"/>
    </row>
    <row r="43" spans="1:6" s="1" customFormat="1" ht="15.75" x14ac:dyDescent="0.25">
      <c r="A43" s="7">
        <v>16</v>
      </c>
      <c r="B43" s="8" t="s">
        <v>44</v>
      </c>
      <c r="C43" s="8" t="s">
        <v>45</v>
      </c>
      <c r="D43" s="7">
        <f>2.5+0.5+1</f>
        <v>4</v>
      </c>
      <c r="E43" s="7">
        <f>6279+1255.8+2913.6</f>
        <v>10448.4</v>
      </c>
      <c r="F43" s="4"/>
    </row>
    <row r="44" spans="1:6" s="1" customFormat="1" ht="15.75" x14ac:dyDescent="0.25">
      <c r="A44" s="7">
        <v>17</v>
      </c>
      <c r="B44" s="8" t="s">
        <v>61</v>
      </c>
      <c r="C44" s="8" t="s">
        <v>28</v>
      </c>
      <c r="D44" s="7">
        <f>1</f>
        <v>1</v>
      </c>
      <c r="E44" s="7">
        <f>278.2</f>
        <v>278.2</v>
      </c>
      <c r="F44" s="4"/>
    </row>
    <row r="45" spans="1:6" s="1" customFormat="1" ht="15.75" x14ac:dyDescent="0.25">
      <c r="A45" s="7">
        <v>18</v>
      </c>
      <c r="B45" s="8" t="s">
        <v>71</v>
      </c>
      <c r="C45" s="8" t="s">
        <v>28</v>
      </c>
      <c r="D45" s="7">
        <f>2+2</f>
        <v>4</v>
      </c>
      <c r="E45" s="7">
        <f>24353+21934</f>
        <v>46287</v>
      </c>
      <c r="F45" s="4"/>
    </row>
    <row r="46" spans="1:6" s="1" customFormat="1" ht="31.5" x14ac:dyDescent="0.25">
      <c r="A46" s="7">
        <v>19</v>
      </c>
      <c r="B46" s="8" t="s">
        <v>64</v>
      </c>
      <c r="C46" s="8" t="s">
        <v>51</v>
      </c>
      <c r="D46" s="7">
        <f>0.01</f>
        <v>0.01</v>
      </c>
      <c r="E46" s="7">
        <f>527.6</f>
        <v>527.6</v>
      </c>
      <c r="F46" s="4"/>
    </row>
    <row r="47" spans="1:6" s="1" customFormat="1" ht="15.75" x14ac:dyDescent="0.25">
      <c r="A47" s="7">
        <v>20</v>
      </c>
      <c r="B47" s="8" t="s">
        <v>84</v>
      </c>
      <c r="C47" s="8" t="s">
        <v>28</v>
      </c>
      <c r="D47" s="7">
        <f>1</f>
        <v>1</v>
      </c>
      <c r="E47" s="7">
        <f>862.8</f>
        <v>862.8</v>
      </c>
      <c r="F47" s="4"/>
    </row>
    <row r="48" spans="1:6" s="1" customFormat="1" ht="47.25" x14ac:dyDescent="0.25">
      <c r="A48" s="7">
        <v>21</v>
      </c>
      <c r="B48" s="8" t="s">
        <v>68</v>
      </c>
      <c r="C48" s="8" t="s">
        <v>60</v>
      </c>
      <c r="D48" s="7">
        <f>0.0051</f>
        <v>5.1000000000000004E-3</v>
      </c>
      <c r="E48" s="15">
        <f>856.6</f>
        <v>856.6</v>
      </c>
      <c r="F48" s="4"/>
    </row>
    <row r="49" spans="1:10" s="1" customFormat="1" ht="47.25" x14ac:dyDescent="0.25">
      <c r="A49" s="7">
        <v>22</v>
      </c>
      <c r="B49" s="8" t="s">
        <v>69</v>
      </c>
      <c r="C49" s="8" t="s">
        <v>60</v>
      </c>
      <c r="D49" s="7">
        <f>0.004</f>
        <v>4.0000000000000001E-3</v>
      </c>
      <c r="E49" s="15">
        <f>854.8</f>
        <v>854.8</v>
      </c>
      <c r="F49" s="4"/>
    </row>
    <row r="50" spans="1:10" s="1" customFormat="1" ht="31.5" x14ac:dyDescent="0.25">
      <c r="A50" s="7">
        <v>23</v>
      </c>
      <c r="B50" s="8" t="s">
        <v>85</v>
      </c>
      <c r="C50" s="8" t="s">
        <v>86</v>
      </c>
      <c r="D50" s="7">
        <v>2</v>
      </c>
      <c r="E50" s="15">
        <v>1600</v>
      </c>
      <c r="F50" s="4"/>
    </row>
    <row r="51" spans="1:10" s="1" customFormat="1" ht="47.25" x14ac:dyDescent="0.25">
      <c r="A51" s="7">
        <v>24</v>
      </c>
      <c r="B51" s="8" t="s">
        <v>58</v>
      </c>
      <c r="C51" s="8" t="s">
        <v>59</v>
      </c>
      <c r="D51" s="7">
        <f>210+10+60</f>
        <v>280</v>
      </c>
      <c r="E51" s="15">
        <f>136500+6500+39000</f>
        <v>182000</v>
      </c>
      <c r="F51" s="4"/>
    </row>
    <row r="52" spans="1:10" s="1" customFormat="1" ht="31.5" x14ac:dyDescent="0.25">
      <c r="A52" s="7">
        <v>25</v>
      </c>
      <c r="B52" s="8" t="s">
        <v>56</v>
      </c>
      <c r="C52" s="8" t="s">
        <v>57</v>
      </c>
      <c r="D52" s="7">
        <f>1935+185+66+26+299+238</f>
        <v>2749</v>
      </c>
      <c r="E52" s="16">
        <f>64493+6166+3300+1083+14950+9917</f>
        <v>99909</v>
      </c>
      <c r="F52" s="4"/>
    </row>
    <row r="53" spans="1:10" s="1" customFormat="1" ht="15.75" x14ac:dyDescent="0.25">
      <c r="A53" s="7"/>
      <c r="B53" s="8"/>
      <c r="C53" s="8"/>
      <c r="D53" s="7"/>
      <c r="E53" s="9">
        <f>SUM(E28:E52)</f>
        <v>808086.20000000007</v>
      </c>
      <c r="F53" s="4"/>
    </row>
    <row r="54" spans="1:10" ht="15.75" x14ac:dyDescent="0.25">
      <c r="A54" s="7"/>
      <c r="B54" s="8" t="s">
        <v>8</v>
      </c>
      <c r="C54" s="7"/>
      <c r="D54" s="7"/>
      <c r="E54" s="9">
        <f>E26+E53</f>
        <v>1413921.2000000002</v>
      </c>
      <c r="F54" s="4"/>
    </row>
    <row r="55" spans="1:10" ht="15.75" x14ac:dyDescent="0.25">
      <c r="A55" s="7"/>
      <c r="B55" s="8"/>
      <c r="C55" s="7"/>
      <c r="D55" s="7"/>
      <c r="E55" s="7"/>
      <c r="F55" s="4"/>
    </row>
    <row r="56" spans="1:10" ht="15.75" x14ac:dyDescent="0.25">
      <c r="A56" s="10"/>
      <c r="B56" s="10"/>
      <c r="C56" s="10"/>
      <c r="D56" s="10"/>
      <c r="E56" s="10"/>
      <c r="F56" s="4"/>
      <c r="J56" t="s">
        <v>33</v>
      </c>
    </row>
    <row r="57" spans="1:10" ht="15.75" x14ac:dyDescent="0.25">
      <c r="A57" s="10"/>
      <c r="B57" s="10" t="s">
        <v>16</v>
      </c>
      <c r="C57" s="10" t="s">
        <v>35</v>
      </c>
      <c r="D57" s="10"/>
      <c r="E57" s="10"/>
      <c r="F57" s="1"/>
    </row>
    <row r="58" spans="1:10" x14ac:dyDescent="0.25">
      <c r="A58" s="2"/>
      <c r="B58" s="2"/>
      <c r="C58" s="2"/>
      <c r="D58" s="2"/>
      <c r="E58" s="2"/>
      <c r="F58" s="1"/>
    </row>
    <row r="59" spans="1:10" x14ac:dyDescent="0.25">
      <c r="A59" s="2"/>
      <c r="B59" s="2"/>
      <c r="C59" s="2"/>
      <c r="D59" s="2"/>
      <c r="E59" s="2"/>
      <c r="F59" s="1"/>
    </row>
    <row r="60" spans="1:10" x14ac:dyDescent="0.25">
      <c r="A60" s="2"/>
      <c r="B60" s="2" t="s">
        <v>17</v>
      </c>
      <c r="C60" s="2"/>
      <c r="D60" s="14"/>
      <c r="E60" s="2"/>
      <c r="F60" s="13"/>
      <c r="G60" s="13"/>
    </row>
    <row r="61" spans="1:10" x14ac:dyDescent="0.25">
      <c r="A61" s="2"/>
      <c r="B61" s="2"/>
      <c r="C61" s="2"/>
      <c r="D61" s="2"/>
      <c r="E61" s="2"/>
      <c r="F61" s="13"/>
      <c r="G61" s="13"/>
    </row>
    <row r="62" spans="1:10" x14ac:dyDescent="0.25">
      <c r="A62" s="2"/>
      <c r="B62" s="2"/>
      <c r="C62" s="2" t="s">
        <v>36</v>
      </c>
      <c r="D62" s="14">
        <f>23501.6+13827.8+15367.2+19501+15353.6+374821.8+17602.2+18045.6+51308.8+17329+19459.2+19706.2</f>
        <v>605823.99999999988</v>
      </c>
      <c r="E62" s="14"/>
      <c r="F62" s="13"/>
      <c r="G62" s="13"/>
    </row>
    <row r="63" spans="1:10" x14ac:dyDescent="0.25">
      <c r="A63" s="2"/>
      <c r="B63" s="2"/>
      <c r="C63" s="2" t="s">
        <v>37</v>
      </c>
      <c r="D63" s="14">
        <f>128184.6+88360.4+25514+44220.2+26209.6+31675.4+95976.6+125742+83114+5414.2+71964+81722.2</f>
        <v>808097.2</v>
      </c>
      <c r="E63" s="2"/>
    </row>
    <row r="64" spans="1:10" x14ac:dyDescent="0.25">
      <c r="A64" s="2"/>
      <c r="B64" s="2"/>
      <c r="C64" s="2"/>
      <c r="D64" s="14">
        <f>D62+D63</f>
        <v>1413921.1999999997</v>
      </c>
      <c r="E64" s="14"/>
      <c r="G64" s="13"/>
    </row>
    <row r="65" spans="1:6" x14ac:dyDescent="0.25">
      <c r="A65" s="2"/>
      <c r="B65" s="2"/>
      <c r="C65" s="2" t="s">
        <v>38</v>
      </c>
      <c r="D65" s="14">
        <f>151686.2+102188.2+40881.2+63721.2+41563.2+406497.2+113578.8+143787.6+134422.8+22743.2+91423.2+101428.4</f>
        <v>1413921.2</v>
      </c>
      <c r="E65" s="2"/>
      <c r="F65" s="13"/>
    </row>
    <row r="66" spans="1:6" x14ac:dyDescent="0.25">
      <c r="A66" s="2"/>
      <c r="B66" s="2"/>
      <c r="C66" s="2"/>
      <c r="D66" s="2"/>
      <c r="E66" s="2"/>
    </row>
    <row r="67" spans="1:6" x14ac:dyDescent="0.25">
      <c r="A67" s="2"/>
      <c r="B67" s="2"/>
      <c r="C67" s="2"/>
      <c r="D67" s="2"/>
      <c r="E67" s="2"/>
    </row>
    <row r="1101" spans="7:7" x14ac:dyDescent="0.25">
      <c r="G1101" t="s">
        <v>34</v>
      </c>
    </row>
    <row r="1103" spans="7:7" x14ac:dyDescent="0.25">
      <c r="G1103" t="s">
        <v>31</v>
      </c>
    </row>
  </sheetData>
  <pageMargins left="0.78740157480314965" right="0.11811023622047245" top="0.35433070866141736" bottom="0.35433070866141736" header="0.31496062992125984" footer="0.31496062992125984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2023-01-24T11:18:00Z</cp:lastPrinted>
  <dcterms:created xsi:type="dcterms:W3CDTF">2016-09-29T06:37:31Z</dcterms:created>
  <dcterms:modified xsi:type="dcterms:W3CDTF">2023-01-24T11:20:13Z</dcterms:modified>
</cp:coreProperties>
</file>