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132" i="1" l="1"/>
  <c r="H132" i="1" s="1"/>
  <c r="F130" i="1"/>
  <c r="H130" i="1" s="1"/>
  <c r="F95" i="1"/>
  <c r="H95" i="1" s="1"/>
  <c r="F105" i="1"/>
  <c r="F111" i="1"/>
  <c r="H111" i="1" s="1"/>
  <c r="F81" i="1"/>
  <c r="H81" i="1" s="1"/>
  <c r="F82" i="1"/>
  <c r="H82" i="1" s="1"/>
  <c r="H105" i="1" l="1"/>
  <c r="I105" i="1" s="1"/>
  <c r="I95" i="1"/>
  <c r="F97" i="1"/>
  <c r="F56" i="1"/>
  <c r="H56" i="1" s="1"/>
  <c r="F53" i="1"/>
  <c r="H53" i="1" s="1"/>
  <c r="F50" i="1"/>
  <c r="H50" i="1" s="1"/>
  <c r="I53" i="1" l="1"/>
  <c r="F85" i="1"/>
  <c r="H85" i="1" s="1"/>
  <c r="F113" i="1"/>
  <c r="H113" i="1" s="1"/>
  <c r="F120" i="1" l="1"/>
  <c r="H120" i="1" s="1"/>
  <c r="F112" i="1"/>
  <c r="H112" i="1" s="1"/>
  <c r="F101" i="1"/>
  <c r="H101" i="1" s="1"/>
  <c r="F99" i="1"/>
  <c r="H99" i="1" s="1"/>
  <c r="F98" i="1"/>
  <c r="H98" i="1" s="1"/>
  <c r="H97" i="1"/>
  <c r="F87" i="1"/>
  <c r="H87" i="1" s="1"/>
  <c r="I87" i="1" l="1"/>
  <c r="F49" i="1" l="1"/>
  <c r="H49" i="1" s="1"/>
  <c r="I49" i="1" l="1"/>
  <c r="F127" i="1"/>
  <c r="H127" i="1" s="1"/>
  <c r="F128" i="1"/>
  <c r="H128" i="1" s="1"/>
  <c r="H154" i="1" l="1"/>
  <c r="I154" i="1" s="1"/>
  <c r="F153" i="1"/>
  <c r="H153" i="1" s="1"/>
  <c r="H72" i="1"/>
  <c r="I72" i="1" s="1"/>
  <c r="F71" i="1"/>
  <c r="F11" i="1"/>
  <c r="H11" i="1" s="1"/>
  <c r="F160" i="1"/>
  <c r="H160" i="1" s="1"/>
  <c r="H43" i="1"/>
  <c r="F48" i="1"/>
  <c r="H48" i="1" s="1"/>
  <c r="H125" i="1"/>
  <c r="H124" i="1"/>
  <c r="I125" i="1"/>
  <c r="F123" i="1"/>
  <c r="I127" i="1"/>
  <c r="H126" i="1"/>
  <c r="I126" i="1" s="1"/>
  <c r="F77" i="1"/>
  <c r="H77" i="1" s="1"/>
  <c r="F51" i="1"/>
  <c r="H51" i="1" s="1"/>
  <c r="F63" i="1"/>
  <c r="H63" i="1" s="1"/>
  <c r="H65" i="1"/>
  <c r="I65" i="1" s="1"/>
  <c r="F159" i="1"/>
  <c r="F76" i="1"/>
  <c r="F62" i="1"/>
  <c r="H62" i="1" s="1"/>
  <c r="H61" i="1"/>
  <c r="I61" i="1" s="1"/>
  <c r="H60" i="1"/>
  <c r="I60" i="1" s="1"/>
  <c r="H55" i="1"/>
  <c r="I55" i="1" s="1"/>
  <c r="H68" i="1"/>
  <c r="I68" i="1" s="1"/>
  <c r="F67" i="1"/>
  <c r="H67" i="1" s="1"/>
  <c r="F59" i="1"/>
  <c r="F58" i="1"/>
  <c r="H58" i="1" s="1"/>
  <c r="H47" i="1"/>
  <c r="I47" i="1" s="1"/>
  <c r="H46" i="1"/>
  <c r="I46" i="1" s="1"/>
  <c r="F45" i="1"/>
  <c r="H45" i="1" s="1"/>
  <c r="F44" i="1"/>
  <c r="H44" i="1" s="1"/>
  <c r="F32" i="1"/>
  <c r="F31" i="1"/>
  <c r="H31" i="1" s="1"/>
  <c r="F28" i="1"/>
  <c r="H28" i="1" s="1"/>
  <c r="H157" i="1"/>
  <c r="I157" i="1" s="1"/>
  <c r="H155" i="1"/>
  <c r="F25" i="1"/>
  <c r="F19" i="1"/>
  <c r="H19" i="1" s="1"/>
  <c r="H21" i="1"/>
  <c r="F20" i="1"/>
  <c r="H20" i="1" s="1"/>
  <c r="F22" i="1"/>
  <c r="H22" i="1" s="1"/>
  <c r="F107" i="1"/>
  <c r="H107" i="1" s="1"/>
  <c r="F119" i="1"/>
  <c r="H119" i="1" l="1"/>
  <c r="I119" i="1" s="1"/>
  <c r="H25" i="1"/>
  <c r="I25" i="1" s="1"/>
  <c r="H32" i="1"/>
  <c r="I32" i="1" s="1"/>
  <c r="I45" i="1"/>
  <c r="H59" i="1"/>
  <c r="I59" i="1" s="1"/>
  <c r="H76" i="1"/>
  <c r="I76" i="1" s="1"/>
  <c r="I51" i="1"/>
  <c r="H123" i="1"/>
  <c r="I123" i="1" s="1"/>
  <c r="H71" i="1"/>
  <c r="I71" i="1" s="1"/>
  <c r="I31" i="1"/>
  <c r="I44" i="1"/>
  <c r="I58" i="1"/>
  <c r="I67" i="1"/>
  <c r="I62" i="1"/>
  <c r="I63" i="1"/>
  <c r="I77" i="1"/>
  <c r="I11" i="1"/>
  <c r="I153" i="1"/>
  <c r="I56" i="1"/>
  <c r="H159" i="1"/>
  <c r="I159" i="1" s="1"/>
  <c r="I124" i="1"/>
  <c r="I160" i="1"/>
  <c r="F33" i="1"/>
  <c r="F152" i="1"/>
  <c r="H152" i="1" s="1"/>
  <c r="F89" i="1"/>
  <c r="H89" i="1" s="1"/>
  <c r="F88" i="1"/>
  <c r="H88" i="1" s="1"/>
  <c r="H33" i="1" l="1"/>
  <c r="I33" i="1" s="1"/>
  <c r="H90" i="1"/>
  <c r="F131" i="1"/>
  <c r="H131" i="1" s="1"/>
  <c r="H158" i="1"/>
  <c r="F151" i="1"/>
  <c r="H151" i="1" s="1"/>
  <c r="I101" i="1"/>
  <c r="F150" i="1"/>
  <c r="H150" i="1" s="1"/>
  <c r="F86" i="1"/>
  <c r="H86" i="1" s="1"/>
  <c r="F129" i="1"/>
  <c r="H129" i="1" s="1"/>
  <c r="I120" i="1" l="1"/>
  <c r="I86" i="1"/>
  <c r="I43" i="1" l="1"/>
  <c r="I89" i="1"/>
  <c r="I88" i="1"/>
  <c r="I50" i="1"/>
  <c r="I48" i="1"/>
  <c r="I15" i="1" l="1"/>
  <c r="I107" i="1"/>
  <c r="I109" i="1" l="1"/>
  <c r="F156" i="1"/>
  <c r="H156" i="1" s="1"/>
  <c r="I99" i="1"/>
  <c r="I97" i="1"/>
  <c r="I90" i="1"/>
  <c r="F80" i="1"/>
  <c r="H80" i="1" s="1"/>
  <c r="F79" i="1"/>
  <c r="H79" i="1" s="1"/>
  <c r="I156" i="1" l="1"/>
  <c r="I98" i="1"/>
  <c r="I155" i="1" l="1"/>
  <c r="I150" i="1" l="1"/>
  <c r="I103" i="1"/>
  <c r="F78" i="1"/>
  <c r="H78" i="1" s="1"/>
  <c r="I151" i="1" l="1"/>
  <c r="I28" i="1" l="1"/>
  <c r="I19" i="1"/>
  <c r="I21" i="1"/>
  <c r="I20" i="1"/>
  <c r="I22" i="1"/>
  <c r="I152" i="1"/>
  <c r="I73" i="1"/>
  <c r="I82" i="1"/>
  <c r="I85" i="1"/>
  <c r="I113" i="1"/>
  <c r="I111" i="1"/>
  <c r="I78" i="1"/>
  <c r="I131" i="1"/>
  <c r="I128" i="1"/>
  <c r="I129" i="1"/>
  <c r="I40" i="1" l="1"/>
  <c r="I158" i="1"/>
  <c r="I161" i="1" s="1"/>
  <c r="I112" i="1"/>
  <c r="I162" i="1" l="1"/>
  <c r="I116" i="1"/>
  <c r="I81" i="1" l="1"/>
  <c r="I132" i="1" l="1"/>
  <c r="I80" i="1" l="1"/>
  <c r="I79" i="1"/>
  <c r="I130" i="1"/>
  <c r="I133" i="1" s="1"/>
  <c r="I93" i="1" l="1"/>
  <c r="I139" i="1"/>
  <c r="I143" i="1" s="1"/>
  <c r="I136" i="1"/>
  <c r="I137" i="1" s="1"/>
  <c r="I163" i="1" l="1"/>
</calcChain>
</file>

<file path=xl/sharedStrings.xml><?xml version="1.0" encoding="utf-8"?>
<sst xmlns="http://schemas.openxmlformats.org/spreadsheetml/2006/main" count="619" uniqueCount="236">
  <si>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</si>
  <si>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</si>
  <si>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</si>
  <si>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</si>
  <si>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</si>
  <si>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</si>
  <si>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</si>
  <si>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</si>
  <si>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</si>
  <si>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</si>
  <si>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</si>
  <si>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</si>
  <si>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</si>
  <si>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</si>
  <si>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</si>
  <si>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</si>
  <si>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</si>
  <si>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</si>
  <si>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</si>
  <si>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</si>
  <si>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</si>
  <si>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</si>
  <si>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</si>
  <si>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</si>
  <si>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</si>
  <si>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</si>
  <si>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</si>
  <si>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</si>
  <si>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</si>
  <si>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</si>
  <si>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</si>
  <si>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</si>
  <si>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</si>
  <si>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</si>
  <si>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</si>
  <si>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</si>
  <si>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</si>
  <si>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</si>
  <si>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</si>
  <si>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</si>
  <si>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</si>
  <si>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</si>
  <si>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</si>
  <si>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</si>
  <si>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</si>
  <si>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</si>
  <si>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</si>
  <si>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</si>
  <si>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</si>
  <si>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</si>
  <si>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</si>
  <si>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</si>
  <si>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</si>
  <si>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</si>
  <si>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</si>
  <si>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</si>
  <si>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</si>
  <si>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</si>
  <si>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</si>
  <si>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</si>
  <si>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</si>
  <si>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</si>
  <si>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</si>
  <si>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</si>
  <si>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</si>
  <si>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</si>
  <si>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</si>
  <si>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</si>
  <si>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</si>
  <si>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</si>
  <si>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</si>
  <si>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</si>
  <si>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</si>
  <si>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</si>
  <si>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</si>
  <si>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</si>
  <si>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</si>
  <si>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</si>
  <si>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</si>
  <si>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</si>
  <si>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</si>
  <si>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</si>
  <si>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</si>
  <si>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</si>
  <si>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</si>
  <si>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</si>
  <si>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</si>
  <si>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</si>
  <si>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</si>
  <si>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</si>
  <si>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</si>
  <si>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</si>
  <si>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</si>
  <si>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</si>
  <si>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</si>
  <si>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</si>
  <si>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</si>
  <si>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</si>
  <si>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</si>
  <si>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</si>
  <si>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</si>
  <si>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</si>
  <si>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</si>
  <si>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</si>
  <si>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</si>
  <si>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</si>
  <si>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</si>
  <si>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</si>
  <si>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</si>
  <si>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</si>
  <si>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</si>
  <si>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</si>
  <si>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</si>
  <si>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</si>
  <si>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</si>
  <si>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</si>
  <si>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</si>
  <si>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</si>
  <si>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</si>
  <si>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</si>
  <si>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</si>
  <si>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</si>
  <si>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</si>
  <si>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</si>
  <si>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</si>
  <si>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</si>
  <si>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</si>
  <si>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</si>
  <si>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</si>
  <si>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</si>
  <si>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</si>
  <si>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</si>
  <si>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</si>
  <si>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</si>
  <si>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</si>
  <si>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</si>
  <si>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</si>
  <si>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</si>
  <si>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</si>
  <si>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</si>
  <si>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</si>
  <si>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</si>
  <si>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</si>
  <si>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</si>
  <si>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</si>
  <si>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</si>
  <si>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</si>
  <si>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</si>
  <si>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</si>
  <si>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</si>
  <si>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установка хомутов диаметром трубопроводов до 100мм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</si>
  <si>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</si>
  <si>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</si>
  <si>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</si>
  <si>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ремонт штукатурки гладких фасадов по камню и бетону</t>
  </si>
  <si>
    <t>соед.</t>
  </si>
  <si>
    <t>смена ламп накаливания</t>
  </si>
  <si>
    <t>смена сгонов у трубопроводов диам. 20мм</t>
  </si>
  <si>
    <t>ремонт межпанельных швов без вскрытия</t>
  </si>
  <si>
    <t>ремонт мягкого покрытия кровли в 1 слой</t>
  </si>
  <si>
    <t>разборка покрытий полов из керамических плиток</t>
  </si>
  <si>
    <t>устройство покрытий из керамогранитных плиток размером 30х30</t>
  </si>
  <si>
    <t>1м3 заделки</t>
  </si>
  <si>
    <t>ремонт и восстановление уплотнения стыков прокладками ПРП в 1 ряд насухо</t>
  </si>
  <si>
    <t>смена розеток</t>
  </si>
  <si>
    <t>м2 окрашиваемой поверхности</t>
  </si>
  <si>
    <t>ремонт групповых щитков на лестничной клетке без ремонта  автоматов</t>
  </si>
  <si>
    <t xml:space="preserve">ремонт и окраска дверей (восстановление фурнитуры и остекления) </t>
  </si>
  <si>
    <t>окраска масляными составами ранее окрвшенных металлических решеток и оград без рельефа за 2 раза</t>
  </si>
  <si>
    <t xml:space="preserve">огрунтовка ранее окрашенных фасадов под окраску </t>
  </si>
  <si>
    <t xml:space="preserve">шпатлевка ранее окрашенных фасадов под окраску 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</si>
  <si>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</si>
  <si>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больших металлических поверхностей (кроме крыш)</t>
  </si>
  <si>
    <t>Всего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</si>
  <si>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</si>
  <si>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</si>
  <si>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1,2,34 квартал</t>
  </si>
  <si>
    <t>смена трубопроводов из ПВХ  труб диам. 100мм</t>
  </si>
  <si>
    <t xml:space="preserve"> смена кранов на шаровые краны диам.15 мм</t>
  </si>
  <si>
    <t>окраска масляными составами ранее окрашенных металлических решеток и оград без рельефа за 1 раз</t>
  </si>
  <si>
    <t>4 квартал</t>
  </si>
  <si>
    <t xml:space="preserve"> 4 квартал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</si>
  <si>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</si>
  <si>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ул.8 Марта , дом 16  на 2024 г.
</t>
  </si>
  <si>
    <t>лифт</t>
  </si>
  <si>
    <t>Замена редуктора, статора, ротора лифта подъезд №3</t>
  </si>
  <si>
    <t>демонтаж фильтра диам. 80мм</t>
  </si>
  <si>
    <t>монтаж фильтра диам. 80мм</t>
  </si>
  <si>
    <t>монтаж групповой осветительной сети</t>
  </si>
  <si>
    <t xml:space="preserve"> смена кранов на шаровые краны диам.15,20,32мм</t>
  </si>
  <si>
    <t>короба пластмассовые шириной до 40мм</t>
  </si>
  <si>
    <t>простая масляная окраска ранее окрашенных фасадов без подготовки(закрашивание надписей)</t>
  </si>
  <si>
    <t>ремонт магнитных пускателей</t>
  </si>
  <si>
    <t xml:space="preserve"> смена кранов на шаровые краны диам.15,32мм</t>
  </si>
  <si>
    <t>окраска поверхности фасада</t>
  </si>
  <si>
    <t>валка деревьев в городских условиях</t>
  </si>
  <si>
    <t>м3 кряжей</t>
  </si>
  <si>
    <t>оказание экспертно-консультационной услуги по проверке правильности составления сметной документации</t>
  </si>
  <si>
    <t>оказание услуги строительного контроля</t>
  </si>
  <si>
    <t>ремонт штукатурки фасадов сухой растворной смесью</t>
  </si>
  <si>
    <t>улучшенная масляная окраска ранее окрашенных фасадов с расчитской старой краски до 10% с земли и лесов</t>
  </si>
  <si>
    <t>снятие дверных полотен тамбурных дверей</t>
  </si>
  <si>
    <t>демонтаж дверных коробок</t>
  </si>
  <si>
    <t>установка блоков из ПВХ в наружных и внутренних дверных проемах</t>
  </si>
  <si>
    <t>скобяные изделия</t>
  </si>
  <si>
    <t>компл.</t>
  </si>
  <si>
    <t>установка дверного доводчика</t>
  </si>
  <si>
    <t>очистка вручную поверхности потолков от красок с земли и лесов</t>
  </si>
  <si>
    <t>окраска водно-дисперсионными акриловыми составами улучшенная по штукатурке потолков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</si>
  <si>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</si>
  <si>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стен за 2 раза с расчисткой старой краски до 10%(сапожок)</t>
  </si>
  <si>
    <t>ремонт металлических лестничных решеток</t>
  </si>
  <si>
    <t>укрепление стоек металлических решеток ограждений</t>
  </si>
  <si>
    <t>окраска масляными составами ранее окрашенных металлических решеток и оград без рельефа за 2 раза</t>
  </si>
  <si>
    <t xml:space="preserve"> 2 квартал</t>
  </si>
  <si>
    <t>окраска масляными составами ранее окрашенных поверхностей радиаторов</t>
  </si>
  <si>
    <t>окраска масляными составами ранее окрашенных металлических поверхностей(портал лифта)</t>
  </si>
  <si>
    <t>окраска масляными составами ранее окрашенных больших металлических поверхностей (кроме крыш)( стены кабины лифта,двери электрических щитков)</t>
  </si>
  <si>
    <t>окраска металлических деталей мусоропроводов</t>
  </si>
  <si>
    <t>простая окраска масляными составами торцов лестничных маршей</t>
  </si>
  <si>
    <t>улучшенная масляная окраска ранее окрашенных дверей за 2 раза</t>
  </si>
  <si>
    <t>демонтаж светильников</t>
  </si>
  <si>
    <t>монтаж светильников</t>
  </si>
  <si>
    <t>короба пластмассовые шириной до 63мм</t>
  </si>
  <si>
    <t>смена дверных замков в электрических щитках</t>
  </si>
  <si>
    <t>установка оконных ручек</t>
  </si>
  <si>
    <t>окраска металлических огрунтованных поверхностей ПФ-115</t>
  </si>
  <si>
    <t>демонтаж почтовых ящиков</t>
  </si>
  <si>
    <t>монтаж почтовых ящиков</t>
  </si>
  <si>
    <t>установка декоративного экрана на регистры отопления</t>
  </si>
  <si>
    <t>погрузка при автомобильных перевозках строительного мусора с вывозом и утилизацией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</si>
  <si>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</si>
  <si>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</si>
  <si>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</si>
  <si>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смена задвижек на шаровые краны диам.100мм</t>
  </si>
  <si>
    <t>улучшенная масляная окраска ранее окрашенны стен за один раз с расчисткой старой краски до 10%(откосы)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</si>
</sst>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3" borderId="0" xfId="0" applyFont="1" applyFill="1"/>
    <xf numFmtId="2" fontId="1" fillId="3" borderId="0" xfId="0" applyNumberFormat="1" applyFont="1" applyFill="1"/>
    <xf numFmtId="0" fontId="3" fillId="3" borderId="0" xfId="0" applyFont="1" applyFill="1"/>
    <xf numFmtId="2" fontId="3" fillId="3" borderId="0" xfId="0" applyNumberFormat="1" applyFont="1" applyFill="1"/>
    <xf numFmtId="164" fontId="3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topLeftCell="D107" zoomScale="91" zoomScaleNormal="91" workbookViewId="0">
      <selection activeCell="I174" sqref="I174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1.28515625" style="1" bestFit="1" customWidth="1"/>
    <col min="13" max="16384" width="8.85546875" style="1"/>
  </cols>
  <sheetData>
    <row r="1" spans="1:12" ht="51.75" customHeight="1" x14ac:dyDescent="0.25">
      <c r="I1" s="75" t="s">
        <v>96</v>
      </c>
      <c r="J1" s="75"/>
    </row>
    <row r="2" spans="1:12" ht="70.5" customHeight="1" x14ac:dyDescent="0.25">
      <c r="A2" s="70" t="s">
        <v>183</v>
      </c>
      <c r="B2" s="71"/>
      <c r="C2" s="71"/>
      <c r="D2" s="71"/>
      <c r="E2" s="71"/>
      <c r="F2" s="71"/>
      <c r="G2" s="71"/>
      <c r="H2" s="71"/>
      <c r="I2" s="71"/>
      <c r="J2" s="71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82"/>
      <c r="L3" s="82"/>
    </row>
    <row r="4" spans="1:12" ht="18.75" x14ac:dyDescent="0.3">
      <c r="A4" s="76" t="s">
        <v>87</v>
      </c>
      <c r="B4" s="77"/>
      <c r="C4" s="77"/>
      <c r="D4" s="77"/>
      <c r="E4" s="77"/>
      <c r="F4" s="77"/>
      <c r="G4" s="78"/>
      <c r="H4" s="10"/>
      <c r="I4" s="10"/>
      <c r="J4" s="11"/>
      <c r="K4" s="82"/>
      <c r="L4" s="82"/>
    </row>
    <row r="5" spans="1:12" ht="18.75" x14ac:dyDescent="0.3">
      <c r="A5" s="6" t="s">
        <v>0</v>
      </c>
      <c r="B5" s="5"/>
      <c r="C5" s="4"/>
      <c r="D5" s="15" t="s">
        <v>159</v>
      </c>
      <c r="E5" s="41" t="s">
        <v>138</v>
      </c>
      <c r="F5" s="41" t="s">
        <v>138</v>
      </c>
      <c r="G5" s="13" t="s">
        <v>113</v>
      </c>
      <c r="H5" s="41" t="s">
        <v>138</v>
      </c>
      <c r="I5" s="41" t="s">
        <v>138</v>
      </c>
      <c r="J5" s="13"/>
      <c r="K5" s="82"/>
      <c r="L5" s="82"/>
    </row>
    <row r="6" spans="1:12" ht="35.25" customHeight="1" x14ac:dyDescent="0.3">
      <c r="A6" s="6" t="s">
        <v>1</v>
      </c>
      <c r="B6" s="5"/>
      <c r="C6" s="4"/>
      <c r="D6" s="15" t="s">
        <v>148</v>
      </c>
      <c r="E6" s="41" t="s">
        <v>138</v>
      </c>
      <c r="F6" s="41" t="s">
        <v>138</v>
      </c>
      <c r="G6" s="13" t="s">
        <v>30</v>
      </c>
      <c r="H6" s="41" t="s">
        <v>138</v>
      </c>
      <c r="I6" s="41" t="s">
        <v>138</v>
      </c>
      <c r="J6" s="13"/>
      <c r="K6" s="82"/>
      <c r="L6" s="82"/>
    </row>
    <row r="7" spans="1:12" ht="28.5" customHeight="1" x14ac:dyDescent="0.3">
      <c r="A7" s="6" t="s">
        <v>2</v>
      </c>
      <c r="B7" s="5"/>
      <c r="C7" s="4"/>
      <c r="D7" s="15" t="s">
        <v>38</v>
      </c>
      <c r="E7" s="41" t="s">
        <v>138</v>
      </c>
      <c r="F7" s="41" t="s">
        <v>138</v>
      </c>
      <c r="G7" s="13" t="s">
        <v>30</v>
      </c>
      <c r="H7" s="41" t="s">
        <v>138</v>
      </c>
      <c r="I7" s="41" t="s">
        <v>138</v>
      </c>
      <c r="J7" s="13"/>
      <c r="K7" s="82"/>
      <c r="L7" s="82"/>
    </row>
    <row r="8" spans="1:12" ht="18.75" x14ac:dyDescent="0.3">
      <c r="A8" s="7" t="s">
        <v>3</v>
      </c>
      <c r="B8" s="5"/>
      <c r="C8" s="4"/>
      <c r="D8" s="15" t="s">
        <v>37</v>
      </c>
      <c r="E8" s="41" t="s">
        <v>138</v>
      </c>
      <c r="F8" s="41" t="s">
        <v>138</v>
      </c>
      <c r="G8" s="13" t="s">
        <v>113</v>
      </c>
      <c r="H8" s="41" t="s">
        <v>138</v>
      </c>
      <c r="I8" s="41" t="s">
        <v>138</v>
      </c>
      <c r="J8" s="13"/>
      <c r="K8" s="82"/>
      <c r="L8" s="82"/>
    </row>
    <row r="9" spans="1:12" ht="32.25" x14ac:dyDescent="0.3">
      <c r="A9" s="6" t="s">
        <v>4</v>
      </c>
      <c r="B9" s="5"/>
      <c r="C9" s="4"/>
      <c r="D9" s="15" t="s">
        <v>36</v>
      </c>
      <c r="E9" s="41" t="s">
        <v>138</v>
      </c>
      <c r="F9" s="41" t="s">
        <v>138</v>
      </c>
      <c r="G9" s="13" t="s">
        <v>30</v>
      </c>
      <c r="H9" s="41" t="s">
        <v>138</v>
      </c>
      <c r="I9" s="41" t="s">
        <v>138</v>
      </c>
      <c r="J9" s="13"/>
      <c r="K9" s="82"/>
      <c r="L9" s="82"/>
    </row>
    <row r="10" spans="1:12" ht="18.75" x14ac:dyDescent="0.3">
      <c r="A10" s="6" t="s">
        <v>5</v>
      </c>
      <c r="B10" s="5"/>
      <c r="C10" s="4"/>
      <c r="D10" s="4" t="s">
        <v>86</v>
      </c>
      <c r="E10" s="41" t="s">
        <v>138</v>
      </c>
      <c r="F10" s="41" t="s">
        <v>138</v>
      </c>
      <c r="G10" s="13" t="s">
        <v>31</v>
      </c>
      <c r="H10" s="41" t="s">
        <v>138</v>
      </c>
      <c r="I10" s="41" t="s">
        <v>138</v>
      </c>
      <c r="J10" s="13"/>
      <c r="K10" s="82"/>
      <c r="L10" s="82"/>
    </row>
    <row r="11" spans="1:12" ht="32.25" x14ac:dyDescent="0.3">
      <c r="A11" s="6"/>
      <c r="B11" s="5"/>
      <c r="C11" s="4"/>
      <c r="D11" s="15" t="s">
        <v>226</v>
      </c>
      <c r="E11" s="41"/>
      <c r="F11" s="41">
        <f>4.45</f>
        <v>4.45</v>
      </c>
      <c r="G11" s="13" t="s">
        <v>113</v>
      </c>
      <c r="H11" s="46">
        <f>278.6/F11</f>
        <v>62.606741573033709</v>
      </c>
      <c r="I11" s="63">
        <f>F11*H11</f>
        <v>278.60000000000002</v>
      </c>
      <c r="J11" s="13" t="s">
        <v>120</v>
      </c>
      <c r="K11" s="82"/>
      <c r="L11" s="8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138</v>
      </c>
      <c r="F12" s="41" t="s">
        <v>138</v>
      </c>
      <c r="G12" s="14" t="s">
        <v>31</v>
      </c>
      <c r="H12" s="41" t="s">
        <v>138</v>
      </c>
      <c r="I12" s="41" t="s">
        <v>138</v>
      </c>
      <c r="J12" s="13"/>
      <c r="K12" s="82"/>
      <c r="L12" s="82"/>
    </row>
    <row r="13" spans="1:12" ht="32.25" x14ac:dyDescent="0.3">
      <c r="A13" s="6" t="s">
        <v>62</v>
      </c>
      <c r="B13" s="5"/>
      <c r="C13" s="4"/>
      <c r="D13" s="15" t="s">
        <v>51</v>
      </c>
      <c r="E13" s="41" t="s">
        <v>138</v>
      </c>
      <c r="F13" s="41" t="s">
        <v>138</v>
      </c>
      <c r="G13" s="13" t="s">
        <v>30</v>
      </c>
      <c r="H13" s="41" t="s">
        <v>138</v>
      </c>
      <c r="I13" s="41" t="s">
        <v>138</v>
      </c>
      <c r="J13" s="13"/>
      <c r="K13" s="84"/>
      <c r="L13" s="8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138</v>
      </c>
      <c r="F14" s="41" t="s">
        <v>138</v>
      </c>
      <c r="G14" s="13" t="s">
        <v>30</v>
      </c>
      <c r="H14" s="41" t="s">
        <v>138</v>
      </c>
      <c r="I14" s="41" t="s">
        <v>138</v>
      </c>
      <c r="J14" s="13"/>
      <c r="K14" s="82"/>
      <c r="L14" s="8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1"/>
      <c r="I15" s="41">
        <f>SUM(I6:I14)</f>
        <v>278.60000000000002</v>
      </c>
      <c r="J15" s="13"/>
      <c r="K15" s="82"/>
      <c r="L15" s="82"/>
    </row>
    <row r="16" spans="1:12" ht="18.75" x14ac:dyDescent="0.3">
      <c r="A16" s="76" t="s">
        <v>55</v>
      </c>
      <c r="B16" s="77"/>
      <c r="C16" s="77"/>
      <c r="D16" s="77"/>
      <c r="E16" s="77"/>
      <c r="F16" s="77"/>
      <c r="G16" s="78"/>
      <c r="H16" s="14"/>
      <c r="I16" s="5"/>
      <c r="J16" s="13"/>
      <c r="K16" s="84"/>
      <c r="L16" s="82"/>
    </row>
    <row r="17" spans="1:12" ht="18.75" x14ac:dyDescent="0.3">
      <c r="A17" s="6" t="s">
        <v>19</v>
      </c>
      <c r="B17" s="5"/>
      <c r="C17" s="4"/>
      <c r="D17" s="4" t="s">
        <v>95</v>
      </c>
      <c r="E17" s="41" t="s">
        <v>138</v>
      </c>
      <c r="F17" s="41" t="s">
        <v>138</v>
      </c>
      <c r="G17" s="14" t="s">
        <v>53</v>
      </c>
      <c r="H17" s="41" t="s">
        <v>138</v>
      </c>
      <c r="I17" s="41" t="s">
        <v>138</v>
      </c>
      <c r="J17" s="13"/>
      <c r="K17" s="84"/>
      <c r="L17" s="82"/>
    </row>
    <row r="18" spans="1:12" ht="18.75" x14ac:dyDescent="0.3">
      <c r="A18" s="6" t="s">
        <v>13</v>
      </c>
      <c r="B18" s="5"/>
      <c r="C18" s="4"/>
      <c r="D18" s="4" t="s">
        <v>40</v>
      </c>
      <c r="E18" s="41" t="s">
        <v>138</v>
      </c>
      <c r="F18" s="41" t="s">
        <v>138</v>
      </c>
      <c r="G18" s="14" t="s">
        <v>52</v>
      </c>
      <c r="H18" s="41" t="s">
        <v>138</v>
      </c>
      <c r="I18" s="41" t="s">
        <v>138</v>
      </c>
      <c r="J18" s="13"/>
      <c r="K18" s="84"/>
      <c r="L18" s="82"/>
    </row>
    <row r="19" spans="1:12" ht="18.75" x14ac:dyDescent="0.3">
      <c r="A19" s="6" t="s">
        <v>9</v>
      </c>
      <c r="B19" s="5"/>
      <c r="C19" s="4"/>
      <c r="D19" s="4" t="s">
        <v>194</v>
      </c>
      <c r="E19" s="41"/>
      <c r="F19" s="41">
        <f>156</f>
        <v>156</v>
      </c>
      <c r="G19" s="14" t="s">
        <v>113</v>
      </c>
      <c r="H19" s="46">
        <f>25878.4/F19</f>
        <v>165.88717948717951</v>
      </c>
      <c r="I19" s="63">
        <f>F19*H19</f>
        <v>25878.400000000005</v>
      </c>
      <c r="J19" s="13" t="s">
        <v>120</v>
      </c>
      <c r="K19" s="82"/>
      <c r="L19" s="82"/>
    </row>
    <row r="20" spans="1:12" ht="32.25" x14ac:dyDescent="0.3">
      <c r="A20" s="6"/>
      <c r="B20" s="5"/>
      <c r="C20" s="4"/>
      <c r="D20" s="15" t="s">
        <v>169</v>
      </c>
      <c r="E20" s="41"/>
      <c r="F20" s="41">
        <f>176</f>
        <v>176</v>
      </c>
      <c r="G20" s="14" t="s">
        <v>113</v>
      </c>
      <c r="H20" s="46">
        <f>15293.8/F20</f>
        <v>86.896590909090904</v>
      </c>
      <c r="I20" s="63">
        <f>F20*H20</f>
        <v>15293.8</v>
      </c>
      <c r="J20" s="13" t="s">
        <v>120</v>
      </c>
      <c r="K20" s="82"/>
      <c r="L20" s="82"/>
    </row>
    <row r="21" spans="1:12" ht="32.25" x14ac:dyDescent="0.3">
      <c r="A21" s="6"/>
      <c r="B21" s="5"/>
      <c r="C21" s="4"/>
      <c r="D21" s="15" t="s">
        <v>170</v>
      </c>
      <c r="E21" s="41"/>
      <c r="F21" s="41">
        <v>40</v>
      </c>
      <c r="G21" s="14" t="s">
        <v>113</v>
      </c>
      <c r="H21" s="46">
        <f>12859.4/F21</f>
        <v>321.48500000000001</v>
      </c>
      <c r="I21" s="63">
        <f>F21*H21</f>
        <v>12859.400000000001</v>
      </c>
      <c r="J21" s="13" t="s">
        <v>120</v>
      </c>
      <c r="K21" s="82"/>
      <c r="L21" s="82"/>
    </row>
    <row r="22" spans="1:12" ht="32.25" x14ac:dyDescent="0.3">
      <c r="A22" s="6"/>
      <c r="B22" s="5"/>
      <c r="C22" s="4"/>
      <c r="D22" s="15" t="s">
        <v>154</v>
      </c>
      <c r="E22" s="41"/>
      <c r="F22" s="41">
        <f>20</f>
        <v>20</v>
      </c>
      <c r="G22" s="14" t="s">
        <v>89</v>
      </c>
      <c r="H22" s="46">
        <f>41683.6/F22</f>
        <v>2084.1799999999998</v>
      </c>
      <c r="I22" s="54">
        <f>F22*H22</f>
        <v>41683.599999999999</v>
      </c>
      <c r="J22" s="13" t="s">
        <v>120</v>
      </c>
      <c r="K22" s="84"/>
      <c r="L22" s="8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138</v>
      </c>
      <c r="F23" s="41" t="s">
        <v>138</v>
      </c>
      <c r="G23" s="14" t="s">
        <v>52</v>
      </c>
      <c r="H23" s="41"/>
      <c r="I23" s="41" t="s">
        <v>138</v>
      </c>
      <c r="J23" s="13"/>
      <c r="K23" s="82"/>
      <c r="L23" s="82"/>
    </row>
    <row r="24" spans="1:12" ht="18.75" x14ac:dyDescent="0.3">
      <c r="A24" s="6" t="s">
        <v>11</v>
      </c>
      <c r="B24" s="5"/>
      <c r="C24" s="4"/>
      <c r="D24" s="4" t="s">
        <v>39</v>
      </c>
      <c r="E24" s="41" t="s">
        <v>138</v>
      </c>
      <c r="F24" s="41" t="s">
        <v>138</v>
      </c>
      <c r="G24" s="14" t="s">
        <v>52</v>
      </c>
      <c r="H24" s="41"/>
      <c r="I24" s="41" t="s">
        <v>138</v>
      </c>
      <c r="J24" s="13"/>
      <c r="K24" s="82"/>
      <c r="L24" s="82"/>
    </row>
    <row r="25" spans="1:12" ht="18.75" x14ac:dyDescent="0.3">
      <c r="A25" s="6"/>
      <c r="B25" s="5"/>
      <c r="C25" s="4"/>
      <c r="D25" s="4" t="s">
        <v>153</v>
      </c>
      <c r="E25" s="41" t="s">
        <v>138</v>
      </c>
      <c r="F25" s="41">
        <f>2.5</f>
        <v>2.5</v>
      </c>
      <c r="G25" s="14" t="s">
        <v>142</v>
      </c>
      <c r="H25" s="41">
        <f>8809.2/F25</f>
        <v>3523.6800000000003</v>
      </c>
      <c r="I25" s="63">
        <f>F25*H25</f>
        <v>8809.2000000000007</v>
      </c>
      <c r="J25" s="13" t="s">
        <v>180</v>
      </c>
      <c r="K25" s="82"/>
      <c r="L25" s="8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138</v>
      </c>
      <c r="F26" s="41" t="s">
        <v>138</v>
      </c>
      <c r="G26" s="13" t="s">
        <v>30</v>
      </c>
      <c r="H26" s="41"/>
      <c r="I26" s="41" t="s">
        <v>138</v>
      </c>
      <c r="J26" s="13"/>
      <c r="K26" s="82"/>
      <c r="L26" s="82"/>
    </row>
    <row r="27" spans="1:12" ht="48.75" customHeight="1" x14ac:dyDescent="0.3">
      <c r="A27" s="6" t="s">
        <v>12</v>
      </c>
      <c r="B27" s="5"/>
      <c r="C27" s="4"/>
      <c r="D27" s="15" t="s">
        <v>172</v>
      </c>
      <c r="E27" s="41"/>
      <c r="F27" s="41"/>
      <c r="G27" s="14" t="s">
        <v>113</v>
      </c>
      <c r="H27" s="41"/>
      <c r="I27" s="41"/>
      <c r="J27" s="13"/>
      <c r="K27" s="82"/>
      <c r="L27" s="82"/>
    </row>
    <row r="28" spans="1:12" ht="49.5" customHeight="1" x14ac:dyDescent="0.3">
      <c r="A28" s="6"/>
      <c r="B28" s="5"/>
      <c r="C28" s="4"/>
      <c r="D28" s="15" t="s">
        <v>171</v>
      </c>
      <c r="E28" s="41"/>
      <c r="F28" s="41">
        <f>12.27</f>
        <v>12.27</v>
      </c>
      <c r="G28" s="14" t="s">
        <v>113</v>
      </c>
      <c r="H28" s="46">
        <f>10694.4/F28</f>
        <v>871.58924205378969</v>
      </c>
      <c r="I28" s="63">
        <f>F28*H28</f>
        <v>10694.4</v>
      </c>
      <c r="J28" s="13" t="s">
        <v>120</v>
      </c>
      <c r="K28" s="82"/>
      <c r="L28" s="82"/>
    </row>
    <row r="29" spans="1:12" ht="69" customHeight="1" x14ac:dyDescent="0.3">
      <c r="A29" s="6"/>
      <c r="B29" s="5"/>
      <c r="C29" s="4"/>
      <c r="D29" s="40" t="s">
        <v>168</v>
      </c>
      <c r="E29" s="13"/>
      <c r="F29" s="13"/>
      <c r="G29" s="38" t="s">
        <v>165</v>
      </c>
      <c r="H29" s="13"/>
      <c r="I29" s="13"/>
      <c r="J29" s="13"/>
      <c r="K29" s="82"/>
      <c r="L29" s="82"/>
    </row>
    <row r="30" spans="1:12" ht="18.75" x14ac:dyDescent="0.3">
      <c r="A30" s="6" t="s">
        <v>54</v>
      </c>
      <c r="B30" s="5"/>
      <c r="C30" s="4"/>
      <c r="D30" s="15" t="s">
        <v>158</v>
      </c>
      <c r="E30" s="41" t="s">
        <v>138</v>
      </c>
      <c r="F30" s="41" t="s">
        <v>138</v>
      </c>
      <c r="G30" s="14" t="s">
        <v>30</v>
      </c>
      <c r="H30" s="41" t="s">
        <v>138</v>
      </c>
      <c r="I30" s="41" t="s">
        <v>138</v>
      </c>
      <c r="J30" s="13"/>
      <c r="K30" s="84"/>
      <c r="L30" s="82"/>
    </row>
    <row r="31" spans="1:12" ht="32.25" x14ac:dyDescent="0.3">
      <c r="A31" s="6"/>
      <c r="B31" s="5"/>
      <c r="C31" s="4"/>
      <c r="D31" s="15" t="s">
        <v>199</v>
      </c>
      <c r="E31" s="41"/>
      <c r="F31" s="41">
        <f>4.23</f>
        <v>4.2300000000000004</v>
      </c>
      <c r="G31" s="14" t="s">
        <v>113</v>
      </c>
      <c r="H31" s="46">
        <f>4540.6/F31</f>
        <v>1073.4278959810874</v>
      </c>
      <c r="I31" s="63">
        <f>F31*H31</f>
        <v>4540.6000000000004</v>
      </c>
      <c r="J31" s="13" t="s">
        <v>120</v>
      </c>
      <c r="K31" s="84"/>
      <c r="L31" s="82"/>
    </row>
    <row r="32" spans="1:12" ht="48" x14ac:dyDescent="0.3">
      <c r="A32" s="6"/>
      <c r="B32" s="5"/>
      <c r="C32" s="4"/>
      <c r="D32" s="15" t="s">
        <v>200</v>
      </c>
      <c r="E32" s="41"/>
      <c r="F32" s="41">
        <f>13.58</f>
        <v>13.58</v>
      </c>
      <c r="G32" s="14" t="s">
        <v>113</v>
      </c>
      <c r="H32" s="46">
        <f>5504.2/F32</f>
        <v>405.31664212076583</v>
      </c>
      <c r="I32" s="63">
        <f>F32*H32</f>
        <v>5504.2</v>
      </c>
      <c r="J32" s="13" t="s">
        <v>120</v>
      </c>
      <c r="K32" s="84"/>
      <c r="L32" s="82"/>
    </row>
    <row r="33" spans="1:12" ht="48" x14ac:dyDescent="0.3">
      <c r="A33" s="6"/>
      <c r="B33" s="5"/>
      <c r="C33" s="4"/>
      <c r="D33" s="15" t="s">
        <v>191</v>
      </c>
      <c r="E33" s="41" t="s">
        <v>138</v>
      </c>
      <c r="F33" s="41">
        <f>2</f>
        <v>2</v>
      </c>
      <c r="G33" s="13" t="s">
        <v>113</v>
      </c>
      <c r="H33" s="41">
        <f>334.4/F33</f>
        <v>167.2</v>
      </c>
      <c r="I33" s="54">
        <f>F33*H33</f>
        <v>334.4</v>
      </c>
      <c r="J33" s="13" t="s">
        <v>120</v>
      </c>
      <c r="K33" s="84"/>
      <c r="L33" s="82"/>
    </row>
    <row r="34" spans="1:12" ht="32.25" x14ac:dyDescent="0.3">
      <c r="A34" s="6" t="s">
        <v>56</v>
      </c>
      <c r="B34" s="5"/>
      <c r="C34" s="4"/>
      <c r="D34" s="15" t="s">
        <v>94</v>
      </c>
      <c r="E34" s="41" t="s">
        <v>138</v>
      </c>
      <c r="F34" s="41" t="s">
        <v>138</v>
      </c>
      <c r="G34" s="14" t="s">
        <v>52</v>
      </c>
      <c r="H34" s="41" t="s">
        <v>138</v>
      </c>
      <c r="I34" s="41" t="s">
        <v>138</v>
      </c>
      <c r="J34" s="13"/>
      <c r="K34" s="84"/>
      <c r="L34" s="82"/>
    </row>
    <row r="35" spans="1:12" ht="32.25" x14ac:dyDescent="0.3">
      <c r="A35" s="6" t="s">
        <v>14</v>
      </c>
      <c r="B35" s="5"/>
      <c r="C35" s="4"/>
      <c r="D35" s="15" t="s">
        <v>93</v>
      </c>
      <c r="E35" s="41" t="s">
        <v>138</v>
      </c>
      <c r="F35" s="41" t="s">
        <v>138</v>
      </c>
      <c r="G35" s="14" t="s">
        <v>53</v>
      </c>
      <c r="H35" s="41" t="s">
        <v>138</v>
      </c>
      <c r="I35" s="41" t="s">
        <v>138</v>
      </c>
      <c r="J35" s="13"/>
      <c r="K35" s="84"/>
      <c r="L35" s="82"/>
    </row>
    <row r="36" spans="1:12" ht="18.75" x14ac:dyDescent="0.3">
      <c r="A36" s="6" t="s">
        <v>15</v>
      </c>
      <c r="B36" s="5"/>
      <c r="C36" s="4"/>
      <c r="D36" s="4" t="s">
        <v>41</v>
      </c>
      <c r="E36" s="41" t="s">
        <v>138</v>
      </c>
      <c r="F36" s="41" t="s">
        <v>138</v>
      </c>
      <c r="G36" s="14" t="s">
        <v>53</v>
      </c>
      <c r="H36" s="41" t="s">
        <v>138</v>
      </c>
      <c r="I36" s="41" t="s">
        <v>138</v>
      </c>
      <c r="J36" s="13"/>
      <c r="K36" s="84"/>
      <c r="L36" s="82"/>
    </row>
    <row r="37" spans="1:12" ht="18.75" x14ac:dyDescent="0.3">
      <c r="A37" s="6" t="s">
        <v>16</v>
      </c>
      <c r="B37" s="5"/>
      <c r="C37" s="4"/>
      <c r="D37" s="4" t="s">
        <v>42</v>
      </c>
      <c r="E37" s="41" t="s">
        <v>138</v>
      </c>
      <c r="F37" s="41" t="s">
        <v>138</v>
      </c>
      <c r="G37" s="14" t="s">
        <v>52</v>
      </c>
      <c r="H37" s="41" t="s">
        <v>138</v>
      </c>
      <c r="I37" s="41" t="s">
        <v>138</v>
      </c>
      <c r="J37" s="13"/>
      <c r="K37" s="84"/>
      <c r="L37" s="82"/>
    </row>
    <row r="38" spans="1:12" ht="18.75" x14ac:dyDescent="0.3">
      <c r="A38" s="6" t="s">
        <v>17</v>
      </c>
      <c r="B38" s="5"/>
      <c r="C38" s="4"/>
      <c r="D38" s="4" t="s">
        <v>43</v>
      </c>
      <c r="E38" s="41" t="s">
        <v>138</v>
      </c>
      <c r="F38" s="41" t="s">
        <v>138</v>
      </c>
      <c r="G38" s="13" t="s">
        <v>30</v>
      </c>
      <c r="H38" s="41" t="s">
        <v>138</v>
      </c>
      <c r="I38" s="41" t="s">
        <v>138</v>
      </c>
      <c r="J38" s="13"/>
      <c r="K38" s="84"/>
      <c r="L38" s="82"/>
    </row>
    <row r="39" spans="1:12" ht="18.75" x14ac:dyDescent="0.3">
      <c r="A39" s="6" t="s">
        <v>18</v>
      </c>
      <c r="B39" s="5"/>
      <c r="C39" s="4"/>
      <c r="D39" s="4" t="s">
        <v>44</v>
      </c>
      <c r="E39" s="41" t="s">
        <v>138</v>
      </c>
      <c r="F39" s="41" t="s">
        <v>138</v>
      </c>
      <c r="G39" s="14" t="s">
        <v>53</v>
      </c>
      <c r="H39" s="41" t="s">
        <v>138</v>
      </c>
      <c r="I39" s="41" t="s">
        <v>138</v>
      </c>
      <c r="J39" s="13"/>
      <c r="K39" s="84"/>
      <c r="L39" s="82"/>
    </row>
    <row r="40" spans="1:12" ht="18.75" x14ac:dyDescent="0.3">
      <c r="A40" s="28"/>
      <c r="B40" s="22"/>
      <c r="C40" s="22"/>
      <c r="D40" s="22"/>
      <c r="E40" s="45"/>
      <c r="F40" s="45"/>
      <c r="G40" s="12"/>
      <c r="H40" s="41"/>
      <c r="I40" s="46">
        <f>SUM(I19:I39)</f>
        <v>125598</v>
      </c>
      <c r="J40" s="13"/>
      <c r="K40" s="84"/>
      <c r="L40" s="82"/>
    </row>
    <row r="41" spans="1:12" ht="24" customHeight="1" x14ac:dyDescent="0.3">
      <c r="A41" s="76" t="s">
        <v>85</v>
      </c>
      <c r="B41" s="77"/>
      <c r="C41" s="77"/>
      <c r="D41" s="77"/>
      <c r="E41" s="77"/>
      <c r="F41" s="77"/>
      <c r="G41" s="78"/>
      <c r="H41" s="14"/>
      <c r="I41" s="5"/>
      <c r="J41" s="13"/>
      <c r="K41" s="84"/>
      <c r="L41" s="82"/>
    </row>
    <row r="42" spans="1:12" ht="32.25" customHeight="1" x14ac:dyDescent="0.3">
      <c r="A42" s="6" t="s">
        <v>48</v>
      </c>
      <c r="B42" s="5"/>
      <c r="C42" s="4"/>
      <c r="D42" s="15" t="s">
        <v>167</v>
      </c>
      <c r="E42" s="32"/>
      <c r="F42" s="13"/>
      <c r="G42" s="38" t="s">
        <v>113</v>
      </c>
      <c r="H42" s="13"/>
      <c r="I42" s="13"/>
      <c r="J42" s="13"/>
      <c r="K42" s="84"/>
      <c r="L42" s="82"/>
    </row>
    <row r="43" spans="1:12" ht="32.25" customHeight="1" x14ac:dyDescent="0.3">
      <c r="A43" s="6"/>
      <c r="B43" s="5"/>
      <c r="C43" s="4"/>
      <c r="D43" s="15" t="s">
        <v>225</v>
      </c>
      <c r="E43" s="41"/>
      <c r="F43" s="41">
        <v>7</v>
      </c>
      <c r="G43" s="13" t="s">
        <v>31</v>
      </c>
      <c r="H43" s="46">
        <f>3209/F43</f>
        <v>458.42857142857144</v>
      </c>
      <c r="I43" s="63">
        <f t="shared" ref="I43:I48" si="0">F43*H43</f>
        <v>3209</v>
      </c>
      <c r="J43" s="13" t="s">
        <v>180</v>
      </c>
      <c r="K43" s="84"/>
      <c r="L43" s="82"/>
    </row>
    <row r="44" spans="1:12" ht="32.25" customHeight="1" x14ac:dyDescent="0.3">
      <c r="A44" s="6"/>
      <c r="B44" s="5"/>
      <c r="C44" s="4"/>
      <c r="D44" s="15" t="s">
        <v>201</v>
      </c>
      <c r="E44" s="41"/>
      <c r="F44" s="41">
        <f>6.16</f>
        <v>6.16</v>
      </c>
      <c r="G44" s="13" t="s">
        <v>113</v>
      </c>
      <c r="H44" s="46">
        <f>2016.2/F44</f>
        <v>327.30519480519479</v>
      </c>
      <c r="I44" s="63">
        <f t="shared" si="0"/>
        <v>2016.2</v>
      </c>
      <c r="J44" s="13" t="s">
        <v>120</v>
      </c>
      <c r="K44" s="84"/>
      <c r="L44" s="82"/>
    </row>
    <row r="45" spans="1:12" ht="32.25" customHeight="1" x14ac:dyDescent="0.3">
      <c r="A45" s="6"/>
      <c r="B45" s="5"/>
      <c r="C45" s="4"/>
      <c r="D45" s="15" t="s">
        <v>202</v>
      </c>
      <c r="E45" s="41"/>
      <c r="F45" s="41">
        <f>2</f>
        <v>2</v>
      </c>
      <c r="G45" s="13" t="s">
        <v>31</v>
      </c>
      <c r="H45" s="41">
        <f>3383.4/F45</f>
        <v>1691.7</v>
      </c>
      <c r="I45" s="63">
        <f t="shared" si="0"/>
        <v>3383.4</v>
      </c>
      <c r="J45" s="13" t="s">
        <v>120</v>
      </c>
      <c r="K45" s="84"/>
      <c r="L45" s="82"/>
    </row>
    <row r="46" spans="1:12" ht="32.25" customHeight="1" x14ac:dyDescent="0.3">
      <c r="A46" s="6"/>
      <c r="B46" s="5"/>
      <c r="C46" s="4"/>
      <c r="D46" s="15" t="s">
        <v>203</v>
      </c>
      <c r="E46" s="41"/>
      <c r="F46" s="41">
        <v>6.16</v>
      </c>
      <c r="G46" s="13" t="s">
        <v>113</v>
      </c>
      <c r="H46" s="46">
        <f>94148.2/F46</f>
        <v>15283.7987012987</v>
      </c>
      <c r="I46" s="63">
        <f t="shared" si="0"/>
        <v>94148.2</v>
      </c>
      <c r="J46" s="13" t="s">
        <v>120</v>
      </c>
      <c r="K46" s="84"/>
      <c r="L46" s="82"/>
    </row>
    <row r="47" spans="1:12" ht="32.25" customHeight="1" x14ac:dyDescent="0.3">
      <c r="A47" s="6"/>
      <c r="B47" s="5"/>
      <c r="C47" s="4"/>
      <c r="D47" s="15" t="s">
        <v>204</v>
      </c>
      <c r="E47" s="41"/>
      <c r="F47" s="41">
        <v>1</v>
      </c>
      <c r="G47" s="13" t="s">
        <v>205</v>
      </c>
      <c r="H47" s="46">
        <f>486/F47</f>
        <v>486</v>
      </c>
      <c r="I47" s="63">
        <f t="shared" si="0"/>
        <v>486</v>
      </c>
      <c r="J47" s="13" t="s">
        <v>120</v>
      </c>
      <c r="K47" s="84"/>
      <c r="L47" s="82"/>
    </row>
    <row r="48" spans="1:12" ht="32.25" customHeight="1" x14ac:dyDescent="0.3">
      <c r="A48" s="6"/>
      <c r="B48" s="5"/>
      <c r="C48" s="4"/>
      <c r="D48" s="15" t="s">
        <v>206</v>
      </c>
      <c r="E48" s="41"/>
      <c r="F48" s="41">
        <f>1+9</f>
        <v>10</v>
      </c>
      <c r="G48" s="13" t="s">
        <v>31</v>
      </c>
      <c r="H48" s="41">
        <f>(2866.2+13456.2)/F48</f>
        <v>1632.2400000000002</v>
      </c>
      <c r="I48" s="54">
        <f t="shared" si="0"/>
        <v>16322.400000000001</v>
      </c>
      <c r="J48" s="13" t="s">
        <v>118</v>
      </c>
      <c r="K48" s="84"/>
      <c r="L48" s="82"/>
    </row>
    <row r="49" spans="1:12" ht="32.25" customHeight="1" x14ac:dyDescent="0.3">
      <c r="A49" s="6"/>
      <c r="B49" s="5"/>
      <c r="C49" s="4"/>
      <c r="D49" s="15" t="s">
        <v>163</v>
      </c>
      <c r="E49" s="41"/>
      <c r="F49" s="41">
        <f>2</f>
        <v>2</v>
      </c>
      <c r="G49" s="13" t="s">
        <v>30</v>
      </c>
      <c r="H49" s="41">
        <f>539/F49</f>
        <v>269.5</v>
      </c>
      <c r="I49" s="54">
        <f>F49*H49</f>
        <v>539</v>
      </c>
      <c r="J49" s="67" t="s">
        <v>118</v>
      </c>
      <c r="K49" s="84"/>
      <c r="L49" s="82"/>
    </row>
    <row r="50" spans="1:12" ht="56.25" customHeight="1" x14ac:dyDescent="0.3">
      <c r="A50" s="6"/>
      <c r="B50" s="5"/>
      <c r="C50" s="4"/>
      <c r="D50" s="15" t="s">
        <v>172</v>
      </c>
      <c r="E50" s="41"/>
      <c r="F50" s="41">
        <f>13.39</f>
        <v>13.39</v>
      </c>
      <c r="G50" s="13" t="s">
        <v>113</v>
      </c>
      <c r="H50" s="68">
        <f>(3172)/F50</f>
        <v>236.89320388349515</v>
      </c>
      <c r="I50" s="54">
        <f>F50*H50</f>
        <v>3172</v>
      </c>
      <c r="J50" s="13" t="s">
        <v>118</v>
      </c>
      <c r="K50" s="84"/>
      <c r="L50" s="82"/>
    </row>
    <row r="51" spans="1:12" ht="48.75" customHeight="1" x14ac:dyDescent="0.3">
      <c r="A51" s="6"/>
      <c r="B51" s="5"/>
      <c r="C51" s="4"/>
      <c r="D51" s="15" t="s">
        <v>220</v>
      </c>
      <c r="E51" s="41"/>
      <c r="F51" s="41">
        <f>87.48</f>
        <v>87.48</v>
      </c>
      <c r="G51" s="13" t="s">
        <v>113</v>
      </c>
      <c r="H51" s="46">
        <f>40129.6/F51</f>
        <v>458.72885230909918</v>
      </c>
      <c r="I51" s="63">
        <f>F51*H51</f>
        <v>40129.599999999999</v>
      </c>
      <c r="J51" s="13" t="s">
        <v>120</v>
      </c>
      <c r="K51" s="84"/>
      <c r="L51" s="82"/>
    </row>
    <row r="52" spans="1:12" ht="32.25" x14ac:dyDescent="0.3">
      <c r="A52" s="6" t="s">
        <v>49</v>
      </c>
      <c r="B52" s="5"/>
      <c r="C52" s="4"/>
      <c r="D52" s="15" t="s">
        <v>99</v>
      </c>
      <c r="E52" s="41" t="s">
        <v>138</v>
      </c>
      <c r="F52" s="41" t="s">
        <v>138</v>
      </c>
      <c r="G52" s="13" t="s">
        <v>53</v>
      </c>
      <c r="H52" s="41" t="s">
        <v>138</v>
      </c>
      <c r="I52" s="41" t="s">
        <v>138</v>
      </c>
      <c r="J52" s="13"/>
      <c r="K52" s="84"/>
      <c r="L52" s="82"/>
    </row>
    <row r="53" spans="1:12" ht="48" x14ac:dyDescent="0.3">
      <c r="A53" s="6"/>
      <c r="B53" s="5"/>
      <c r="C53" s="4"/>
      <c r="D53" s="15" t="s">
        <v>235</v>
      </c>
      <c r="E53" s="41"/>
      <c r="F53" s="41">
        <f>36.11</f>
        <v>36.11</v>
      </c>
      <c r="G53" s="13" t="s">
        <v>113</v>
      </c>
      <c r="H53" s="46">
        <f>11762.2/F53</f>
        <v>325.73248407643314</v>
      </c>
      <c r="I53" s="54">
        <f>F53*H53</f>
        <v>11762.2</v>
      </c>
      <c r="J53" s="13" t="s">
        <v>120</v>
      </c>
      <c r="K53" s="85"/>
      <c r="L53" s="82"/>
    </row>
    <row r="54" spans="1:12" ht="32.25" x14ac:dyDescent="0.3">
      <c r="A54" s="6" t="s">
        <v>58</v>
      </c>
      <c r="B54" s="8"/>
      <c r="C54" s="4"/>
      <c r="D54" s="15" t="s">
        <v>45</v>
      </c>
      <c r="E54" s="41" t="s">
        <v>138</v>
      </c>
      <c r="F54" s="41" t="s">
        <v>138</v>
      </c>
      <c r="G54" s="14" t="s">
        <v>162</v>
      </c>
      <c r="H54" s="41" t="s">
        <v>138</v>
      </c>
      <c r="I54" s="41" t="s">
        <v>138</v>
      </c>
      <c r="J54" s="13"/>
      <c r="K54" s="84"/>
      <c r="L54" s="82"/>
    </row>
    <row r="55" spans="1:12" ht="32.25" x14ac:dyDescent="0.3">
      <c r="A55" s="6"/>
      <c r="B55" s="8"/>
      <c r="C55" s="4"/>
      <c r="D55" s="15" t="s">
        <v>209</v>
      </c>
      <c r="E55" s="41"/>
      <c r="F55" s="41">
        <v>1208.6099999999999</v>
      </c>
      <c r="G55" s="14" t="s">
        <v>113</v>
      </c>
      <c r="H55" s="46">
        <f>738548/F55</f>
        <v>611.07222346331741</v>
      </c>
      <c r="I55" s="63">
        <f>F55*H55</f>
        <v>738548</v>
      </c>
      <c r="J55" s="13" t="s">
        <v>120</v>
      </c>
      <c r="K55" s="84"/>
      <c r="L55" s="82"/>
    </row>
    <row r="56" spans="1:12" ht="48" x14ac:dyDescent="0.3">
      <c r="A56" s="6"/>
      <c r="B56" s="8"/>
      <c r="C56" s="4"/>
      <c r="D56" s="15" t="s">
        <v>210</v>
      </c>
      <c r="E56" s="41"/>
      <c r="F56" s="41">
        <f>56.08</f>
        <v>56.08</v>
      </c>
      <c r="G56" s="14" t="s">
        <v>113</v>
      </c>
      <c r="H56" s="46">
        <f>(20616.6)/F56</f>
        <v>367.62838801711837</v>
      </c>
      <c r="I56" s="63">
        <f>F56*H56</f>
        <v>20616.599999999999</v>
      </c>
      <c r="J56" s="13" t="s">
        <v>120</v>
      </c>
      <c r="K56" s="84"/>
      <c r="L56" s="82"/>
    </row>
    <row r="57" spans="1:12" ht="18.75" x14ac:dyDescent="0.3">
      <c r="A57" s="6" t="s">
        <v>60</v>
      </c>
      <c r="B57" s="5"/>
      <c r="C57" s="4"/>
      <c r="D57" s="15" t="s">
        <v>50</v>
      </c>
      <c r="E57" s="41" t="s">
        <v>138</v>
      </c>
      <c r="F57" s="41" t="s">
        <v>138</v>
      </c>
      <c r="G57" s="14" t="s">
        <v>52</v>
      </c>
      <c r="H57" s="41" t="s">
        <v>138</v>
      </c>
      <c r="I57" s="41" t="s">
        <v>138</v>
      </c>
      <c r="J57" s="13"/>
      <c r="K57" s="84"/>
      <c r="L57" s="82"/>
    </row>
    <row r="58" spans="1:12" ht="32.25" x14ac:dyDescent="0.3">
      <c r="A58" s="6"/>
      <c r="B58" s="5"/>
      <c r="C58" s="4"/>
      <c r="D58" s="15" t="s">
        <v>160</v>
      </c>
      <c r="E58" s="41" t="s">
        <v>138</v>
      </c>
      <c r="F58" s="41">
        <f>5</f>
        <v>5</v>
      </c>
      <c r="G58" s="14" t="s">
        <v>113</v>
      </c>
      <c r="H58" s="41">
        <f>3513.6/F58</f>
        <v>702.72</v>
      </c>
      <c r="I58" s="63">
        <f t="shared" ref="I58:I63" si="1">F58*H58</f>
        <v>3513.6000000000004</v>
      </c>
      <c r="J58" s="13" t="s">
        <v>120</v>
      </c>
      <c r="K58" s="84"/>
      <c r="L58" s="82"/>
    </row>
    <row r="59" spans="1:12" ht="32.25" x14ac:dyDescent="0.3">
      <c r="A59" s="6"/>
      <c r="B59" s="5"/>
      <c r="C59" s="4"/>
      <c r="D59" s="15" t="s">
        <v>161</v>
      </c>
      <c r="E59" s="41" t="s">
        <v>138</v>
      </c>
      <c r="F59" s="41">
        <f>5</f>
        <v>5</v>
      </c>
      <c r="G59" s="14" t="s">
        <v>113</v>
      </c>
      <c r="H59" s="41">
        <f>10093.4/F59</f>
        <v>2018.6799999999998</v>
      </c>
      <c r="I59" s="63">
        <f t="shared" si="1"/>
        <v>10093.4</v>
      </c>
      <c r="J59" s="13" t="s">
        <v>120</v>
      </c>
      <c r="K59" s="84"/>
      <c r="L59" s="82"/>
    </row>
    <row r="60" spans="1:12" ht="18.75" x14ac:dyDescent="0.3">
      <c r="A60" s="6"/>
      <c r="B60" s="5"/>
      <c r="C60" s="4"/>
      <c r="D60" s="15" t="s">
        <v>211</v>
      </c>
      <c r="E60" s="41"/>
      <c r="F60" s="41">
        <v>5.2</v>
      </c>
      <c r="G60" s="14" t="s">
        <v>142</v>
      </c>
      <c r="H60" s="46">
        <f>801.6/F60</f>
        <v>154.15384615384616</v>
      </c>
      <c r="I60" s="63">
        <f t="shared" si="1"/>
        <v>801.6</v>
      </c>
      <c r="J60" s="13" t="s">
        <v>120</v>
      </c>
      <c r="K60" s="84"/>
      <c r="L60" s="82"/>
    </row>
    <row r="61" spans="1:12" ht="32.25" x14ac:dyDescent="0.3">
      <c r="A61" s="6"/>
      <c r="B61" s="5"/>
      <c r="C61" s="4"/>
      <c r="D61" s="15" t="s">
        <v>212</v>
      </c>
      <c r="E61" s="41"/>
      <c r="F61" s="41">
        <v>5</v>
      </c>
      <c r="G61" s="14" t="s">
        <v>31</v>
      </c>
      <c r="H61" s="41">
        <f>1526.8/F61</f>
        <v>305.36</v>
      </c>
      <c r="I61" s="63">
        <f t="shared" si="1"/>
        <v>1526.8000000000002</v>
      </c>
      <c r="J61" s="13" t="s">
        <v>120</v>
      </c>
      <c r="K61" s="84"/>
      <c r="L61" s="82"/>
    </row>
    <row r="62" spans="1:12" ht="48" x14ac:dyDescent="0.3">
      <c r="A62" s="6"/>
      <c r="B62" s="5"/>
      <c r="C62" s="4"/>
      <c r="D62" s="15" t="s">
        <v>213</v>
      </c>
      <c r="E62" s="41"/>
      <c r="F62" s="41">
        <f>29.075</f>
        <v>29.074999999999999</v>
      </c>
      <c r="G62" s="14" t="s">
        <v>113</v>
      </c>
      <c r="H62" s="46">
        <f>23584.4/F62</f>
        <v>811.15735167669823</v>
      </c>
      <c r="I62" s="63">
        <f t="shared" si="1"/>
        <v>23584.400000000001</v>
      </c>
      <c r="J62" s="13" t="s">
        <v>214</v>
      </c>
      <c r="K62" s="84"/>
      <c r="L62" s="82"/>
    </row>
    <row r="63" spans="1:12" ht="32.25" x14ac:dyDescent="0.3">
      <c r="A63" s="6"/>
      <c r="B63" s="5"/>
      <c r="C63" s="4"/>
      <c r="D63" s="15" t="s">
        <v>219</v>
      </c>
      <c r="E63" s="41"/>
      <c r="F63" s="41">
        <f>10.13</f>
        <v>10.130000000000001</v>
      </c>
      <c r="G63" s="14" t="s">
        <v>113</v>
      </c>
      <c r="H63" s="46">
        <f>2497.4/F63</f>
        <v>246.53504442250738</v>
      </c>
      <c r="I63" s="63">
        <f t="shared" si="1"/>
        <v>2497.4</v>
      </c>
      <c r="J63" s="13" t="s">
        <v>120</v>
      </c>
      <c r="K63" s="84"/>
      <c r="L63" s="82"/>
    </row>
    <row r="64" spans="1:12" ht="32.25" x14ac:dyDescent="0.3">
      <c r="A64" s="6" t="s">
        <v>61</v>
      </c>
      <c r="B64" s="5"/>
      <c r="C64" s="4"/>
      <c r="D64" s="15" t="s">
        <v>63</v>
      </c>
      <c r="E64" s="41" t="s">
        <v>138</v>
      </c>
      <c r="F64" s="41" t="s">
        <v>138</v>
      </c>
      <c r="G64" s="13" t="s">
        <v>30</v>
      </c>
      <c r="H64" s="41" t="s">
        <v>138</v>
      </c>
      <c r="I64" s="41" t="s">
        <v>138</v>
      </c>
      <c r="J64" s="13"/>
      <c r="K64" s="84"/>
      <c r="L64" s="82"/>
    </row>
    <row r="65" spans="1:12" ht="32.25" x14ac:dyDescent="0.3">
      <c r="A65" s="6"/>
      <c r="B65" s="5"/>
      <c r="C65" s="4"/>
      <c r="D65" s="15" t="s">
        <v>218</v>
      </c>
      <c r="E65" s="41" t="s">
        <v>138</v>
      </c>
      <c r="F65" s="41">
        <v>1</v>
      </c>
      <c r="G65" s="13" t="s">
        <v>31</v>
      </c>
      <c r="H65" s="41">
        <f>7678.2/F65</f>
        <v>7678.2</v>
      </c>
      <c r="I65" s="63">
        <f>F65*H65</f>
        <v>7678.2</v>
      </c>
      <c r="J65" s="13" t="s">
        <v>120</v>
      </c>
      <c r="K65" s="84"/>
      <c r="L65" s="82"/>
    </row>
    <row r="66" spans="1:12" ht="18.75" x14ac:dyDescent="0.3">
      <c r="A66" s="6" t="s">
        <v>57</v>
      </c>
      <c r="B66" s="8"/>
      <c r="C66" s="4"/>
      <c r="D66" s="4" t="s">
        <v>46</v>
      </c>
      <c r="E66" s="41" t="s">
        <v>138</v>
      </c>
      <c r="F66" s="41" t="s">
        <v>138</v>
      </c>
      <c r="G66" s="14" t="s">
        <v>52</v>
      </c>
      <c r="H66" s="41" t="s">
        <v>138</v>
      </c>
      <c r="I66" s="41" t="s">
        <v>138</v>
      </c>
      <c r="J66" s="13"/>
      <c r="K66" s="84"/>
      <c r="L66" s="82"/>
    </row>
    <row r="67" spans="1:12" ht="32.25" x14ac:dyDescent="0.3">
      <c r="A67" s="6"/>
      <c r="B67" s="8"/>
      <c r="C67" s="4"/>
      <c r="D67" s="15" t="s">
        <v>207</v>
      </c>
      <c r="E67" s="41"/>
      <c r="F67" s="41">
        <f>100.1</f>
        <v>100.1</v>
      </c>
      <c r="G67" s="14" t="s">
        <v>113</v>
      </c>
      <c r="H67" s="46">
        <f>18378/F67</f>
        <v>183.5964035964036</v>
      </c>
      <c r="I67" s="63">
        <f>F67*H67</f>
        <v>18378</v>
      </c>
      <c r="J67" s="13" t="s">
        <v>120</v>
      </c>
      <c r="K67" s="84"/>
      <c r="L67" s="82"/>
    </row>
    <row r="68" spans="1:12" ht="32.25" x14ac:dyDescent="0.3">
      <c r="A68" s="6"/>
      <c r="B68" s="8"/>
      <c r="C68" s="4"/>
      <c r="D68" s="15" t="s">
        <v>208</v>
      </c>
      <c r="E68" s="41"/>
      <c r="F68" s="41">
        <v>380.4</v>
      </c>
      <c r="G68" s="14" t="s">
        <v>113</v>
      </c>
      <c r="H68" s="46">
        <f>319056/F68</f>
        <v>838.73817034700323</v>
      </c>
      <c r="I68" s="63">
        <f>F68*H68</f>
        <v>319056</v>
      </c>
      <c r="J68" s="13" t="s">
        <v>120</v>
      </c>
      <c r="K68" s="84"/>
      <c r="L68" s="82"/>
    </row>
    <row r="69" spans="1:12" ht="24" customHeight="1" x14ac:dyDescent="0.3">
      <c r="A69" s="6" t="s">
        <v>59</v>
      </c>
      <c r="B69" s="8"/>
      <c r="C69" s="4"/>
      <c r="D69" s="4" t="s">
        <v>47</v>
      </c>
      <c r="E69" s="41" t="s">
        <v>138</v>
      </c>
      <c r="F69" s="41" t="s">
        <v>138</v>
      </c>
      <c r="G69" s="14" t="s">
        <v>52</v>
      </c>
      <c r="H69" s="41" t="s">
        <v>138</v>
      </c>
      <c r="I69" s="41" t="s">
        <v>138</v>
      </c>
      <c r="J69" s="13"/>
      <c r="K69" s="84"/>
      <c r="L69" s="82"/>
    </row>
    <row r="70" spans="1:12" ht="18.75" x14ac:dyDescent="0.3">
      <c r="A70" s="6" t="s">
        <v>64</v>
      </c>
      <c r="B70" s="5"/>
      <c r="C70" s="4"/>
      <c r="D70" s="4" t="s">
        <v>92</v>
      </c>
      <c r="E70" s="41" t="s">
        <v>138</v>
      </c>
      <c r="F70" s="41" t="s">
        <v>138</v>
      </c>
      <c r="G70" s="14" t="s">
        <v>53</v>
      </c>
      <c r="H70" s="41" t="s">
        <v>138</v>
      </c>
      <c r="I70" s="41" t="s">
        <v>138</v>
      </c>
      <c r="J70" s="13"/>
      <c r="K70" s="84"/>
      <c r="L70" s="82"/>
    </row>
    <row r="71" spans="1:12" ht="18.75" x14ac:dyDescent="0.3">
      <c r="A71" s="28"/>
      <c r="B71" s="22"/>
      <c r="C71" s="22"/>
      <c r="D71" s="5" t="s">
        <v>227</v>
      </c>
      <c r="E71" s="44"/>
      <c r="F71" s="44">
        <f>16</f>
        <v>16</v>
      </c>
      <c r="G71" s="14" t="s">
        <v>31</v>
      </c>
      <c r="H71" s="65">
        <f>21989.8/F71</f>
        <v>1374.3625</v>
      </c>
      <c r="I71" s="64">
        <f>F71*H71</f>
        <v>21989.8</v>
      </c>
      <c r="J71" s="13" t="s">
        <v>120</v>
      </c>
      <c r="K71" s="84"/>
      <c r="L71" s="82"/>
    </row>
    <row r="72" spans="1:12" ht="18.75" x14ac:dyDescent="0.3">
      <c r="A72" s="28"/>
      <c r="B72" s="22"/>
      <c r="C72" s="22"/>
      <c r="D72" s="5" t="s">
        <v>228</v>
      </c>
      <c r="E72" s="44"/>
      <c r="F72" s="44">
        <v>16</v>
      </c>
      <c r="G72" s="14" t="s">
        <v>31</v>
      </c>
      <c r="H72" s="44">
        <f>44427.2/F72</f>
        <v>2776.7</v>
      </c>
      <c r="I72" s="64">
        <f>F72*H72</f>
        <v>44427.199999999997</v>
      </c>
      <c r="J72" s="13" t="s">
        <v>120</v>
      </c>
      <c r="K72" s="84"/>
      <c r="L72" s="82"/>
    </row>
    <row r="73" spans="1:12" ht="18.75" x14ac:dyDescent="0.3">
      <c r="A73" s="28"/>
      <c r="B73" s="22"/>
      <c r="C73" s="22"/>
      <c r="D73" s="22"/>
      <c r="E73" s="45"/>
      <c r="F73" s="45"/>
      <c r="G73" s="12"/>
      <c r="H73" s="41"/>
      <c r="I73" s="41">
        <f>SUM(I42:I70)</f>
        <v>1321462</v>
      </c>
      <c r="J73" s="13"/>
      <c r="K73" s="84"/>
      <c r="L73" s="82"/>
    </row>
    <row r="74" spans="1:12" ht="18.75" x14ac:dyDescent="0.3">
      <c r="A74" s="76" t="s">
        <v>66</v>
      </c>
      <c r="B74" s="77"/>
      <c r="C74" s="77"/>
      <c r="D74" s="77"/>
      <c r="E74" s="77"/>
      <c r="F74" s="77"/>
      <c r="G74" s="78"/>
      <c r="H74" s="18"/>
      <c r="I74" s="5"/>
      <c r="J74" s="13"/>
      <c r="K74" s="84"/>
      <c r="L74" s="82"/>
    </row>
    <row r="75" spans="1:12" ht="37.5" x14ac:dyDescent="0.25">
      <c r="A75" s="9" t="s">
        <v>29</v>
      </c>
      <c r="B75" s="8"/>
      <c r="C75" s="4"/>
      <c r="D75" s="15" t="s">
        <v>140</v>
      </c>
      <c r="E75" s="41" t="s">
        <v>138</v>
      </c>
      <c r="F75" s="41" t="s">
        <v>138</v>
      </c>
      <c r="G75" s="13" t="s">
        <v>53</v>
      </c>
      <c r="H75" s="41" t="s">
        <v>138</v>
      </c>
      <c r="I75" s="41" t="s">
        <v>138</v>
      </c>
      <c r="J75" s="13"/>
      <c r="K75" s="84"/>
      <c r="L75" s="82"/>
    </row>
    <row r="76" spans="1:12" ht="31.5" x14ac:dyDescent="0.25">
      <c r="A76" s="9"/>
      <c r="B76" s="8"/>
      <c r="C76" s="4"/>
      <c r="D76" s="15" t="s">
        <v>215</v>
      </c>
      <c r="E76" s="41"/>
      <c r="F76" s="41">
        <f>5.4</f>
        <v>5.4</v>
      </c>
      <c r="G76" s="13" t="s">
        <v>113</v>
      </c>
      <c r="H76" s="46">
        <f>3646.2/F76</f>
        <v>675.22222222222217</v>
      </c>
      <c r="I76" s="63">
        <f>F76*H76</f>
        <v>3646.2</v>
      </c>
      <c r="J76" s="13" t="s">
        <v>120</v>
      </c>
      <c r="K76" s="84"/>
      <c r="L76" s="82"/>
    </row>
    <row r="77" spans="1:12" ht="47.25" x14ac:dyDescent="0.25">
      <c r="A77" s="9"/>
      <c r="B77" s="8"/>
      <c r="C77" s="4"/>
      <c r="D77" s="15" t="s">
        <v>171</v>
      </c>
      <c r="E77" s="41"/>
      <c r="F77" s="41">
        <f>15.25</f>
        <v>15.25</v>
      </c>
      <c r="G77" s="13" t="s">
        <v>113</v>
      </c>
      <c r="H77" s="46">
        <f>11605.2/F77</f>
        <v>760.99672131147543</v>
      </c>
      <c r="I77" s="63">
        <f>F77*H77</f>
        <v>11605.2</v>
      </c>
      <c r="J77" s="13" t="s">
        <v>120</v>
      </c>
      <c r="K77" s="84"/>
      <c r="L77" s="82"/>
    </row>
    <row r="78" spans="1:12" ht="46.5" customHeight="1" x14ac:dyDescent="0.25">
      <c r="A78" s="9" t="s">
        <v>91</v>
      </c>
      <c r="B78" s="8"/>
      <c r="C78" s="4"/>
      <c r="D78" s="42" t="s">
        <v>123</v>
      </c>
      <c r="E78" s="32"/>
      <c r="F78" s="13">
        <f>2138.7</f>
        <v>2138.6999999999998</v>
      </c>
      <c r="G78" s="13" t="s">
        <v>113</v>
      </c>
      <c r="H78" s="33">
        <f>(10012+10012+10012+10074.2+10074.2+10074.2+10465.4+10465.4+10465.4+10600.2+10600.2)/F78</f>
        <v>52.768130172534704</v>
      </c>
      <c r="I78" s="33">
        <f>F78*H78</f>
        <v>112855.19999999997</v>
      </c>
      <c r="J78" s="13" t="s">
        <v>116</v>
      </c>
      <c r="K78" s="84"/>
      <c r="L78" s="82"/>
    </row>
    <row r="79" spans="1:12" ht="46.5" customHeight="1" x14ac:dyDescent="0.25">
      <c r="A79" s="9"/>
      <c r="B79" s="8"/>
      <c r="C79" s="4"/>
      <c r="D79" s="15" t="s">
        <v>111</v>
      </c>
      <c r="E79" s="32"/>
      <c r="F79" s="13">
        <f>3131</f>
        <v>3131</v>
      </c>
      <c r="G79" s="13" t="s">
        <v>30</v>
      </c>
      <c r="H79" s="33">
        <f>286042.8/F79</f>
        <v>91.358288086873202</v>
      </c>
      <c r="I79" s="33">
        <f t="shared" ref="I79:I80" si="2">F79*H79</f>
        <v>286042.8</v>
      </c>
      <c r="J79" s="13" t="s">
        <v>116</v>
      </c>
      <c r="K79" s="84"/>
      <c r="L79" s="82"/>
    </row>
    <row r="80" spans="1:12" ht="46.5" customHeight="1" x14ac:dyDescent="0.25">
      <c r="A80" s="9"/>
      <c r="B80" s="8"/>
      <c r="C80" s="4"/>
      <c r="D80" s="15" t="s">
        <v>112</v>
      </c>
      <c r="E80" s="41"/>
      <c r="F80" s="41">
        <f>275</f>
        <v>275</v>
      </c>
      <c r="G80" s="13" t="s">
        <v>30</v>
      </c>
      <c r="H80" s="46">
        <f>25384.6/F80</f>
        <v>92.307636363636362</v>
      </c>
      <c r="I80" s="41">
        <f t="shared" si="2"/>
        <v>25384.6</v>
      </c>
      <c r="J80" s="13" t="s">
        <v>118</v>
      </c>
      <c r="K80" s="84"/>
      <c r="L80" s="82"/>
    </row>
    <row r="81" spans="1:12" ht="46.5" customHeight="1" x14ac:dyDescent="0.25">
      <c r="A81" s="9"/>
      <c r="B81" s="8"/>
      <c r="C81" s="4"/>
      <c r="D81" s="15" t="s">
        <v>150</v>
      </c>
      <c r="E81" s="41"/>
      <c r="F81" s="41">
        <f>1</f>
        <v>1</v>
      </c>
      <c r="G81" s="13" t="s">
        <v>31</v>
      </c>
      <c r="H81" s="41">
        <f>1532.6/F81</f>
        <v>1532.6</v>
      </c>
      <c r="I81" s="41">
        <f t="shared" ref="I81" si="3">F81*H81</f>
        <v>1532.6</v>
      </c>
      <c r="J81" s="13" t="s">
        <v>116</v>
      </c>
      <c r="K81" s="84"/>
      <c r="L81" s="82"/>
    </row>
    <row r="82" spans="1:12" ht="46.5" customHeight="1" x14ac:dyDescent="0.25">
      <c r="A82" s="9"/>
      <c r="B82" s="8"/>
      <c r="C82" s="4"/>
      <c r="D82" s="15" t="s">
        <v>157</v>
      </c>
      <c r="E82" s="41"/>
      <c r="F82" s="41">
        <f>1+1</f>
        <v>2</v>
      </c>
      <c r="G82" s="13" t="s">
        <v>147</v>
      </c>
      <c r="H82" s="41">
        <f>(535.8+554)/F82</f>
        <v>544.9</v>
      </c>
      <c r="I82" s="54">
        <f>F82*H82</f>
        <v>1089.8</v>
      </c>
      <c r="J82" s="13" t="s">
        <v>116</v>
      </c>
      <c r="K82" s="84"/>
      <c r="L82" s="82"/>
    </row>
    <row r="83" spans="1:12" ht="31.5" x14ac:dyDescent="0.25">
      <c r="A83" s="9" t="s">
        <v>82</v>
      </c>
      <c r="B83" s="8"/>
      <c r="C83" s="4"/>
      <c r="D83" s="15" t="s">
        <v>151</v>
      </c>
      <c r="E83" s="41" t="s">
        <v>138</v>
      </c>
      <c r="F83" s="41" t="s">
        <v>138</v>
      </c>
      <c r="G83" s="13" t="s">
        <v>53</v>
      </c>
      <c r="H83" s="41" t="s">
        <v>138</v>
      </c>
      <c r="I83" s="41" t="s">
        <v>138</v>
      </c>
      <c r="J83" s="13"/>
      <c r="K83" s="84"/>
      <c r="L83" s="82"/>
    </row>
    <row r="84" spans="1:12" ht="31.5" x14ac:dyDescent="0.25">
      <c r="A84" s="9"/>
      <c r="B84" s="8"/>
      <c r="C84" s="4"/>
      <c r="D84" s="15" t="s">
        <v>152</v>
      </c>
      <c r="E84" s="41" t="s">
        <v>138</v>
      </c>
      <c r="F84" s="41" t="s">
        <v>138</v>
      </c>
      <c r="G84" s="13" t="s">
        <v>53</v>
      </c>
      <c r="H84" s="41" t="s">
        <v>138</v>
      </c>
      <c r="I84" s="41" t="s">
        <v>138</v>
      </c>
      <c r="J84" s="13"/>
      <c r="K84" s="84"/>
      <c r="L84" s="82"/>
    </row>
    <row r="85" spans="1:12" ht="31.5" x14ac:dyDescent="0.25">
      <c r="A85" s="9"/>
      <c r="B85" s="8"/>
      <c r="C85" s="4"/>
      <c r="D85" s="15" t="s">
        <v>189</v>
      </c>
      <c r="E85" s="41"/>
      <c r="F85" s="41">
        <f>9+2+5</f>
        <v>16</v>
      </c>
      <c r="G85" s="13" t="s">
        <v>31</v>
      </c>
      <c r="H85" s="46">
        <f>(12276.6+2590.8+6572.2)/F85</f>
        <v>1339.9750000000001</v>
      </c>
      <c r="I85" s="54">
        <f>F85*H85</f>
        <v>21439.600000000002</v>
      </c>
      <c r="J85" s="13" t="s">
        <v>116</v>
      </c>
      <c r="K85" s="84"/>
      <c r="L85" s="82"/>
    </row>
    <row r="86" spans="1:12" ht="18.75" x14ac:dyDescent="0.25">
      <c r="A86" s="9"/>
      <c r="B86" s="8"/>
      <c r="C86" s="4"/>
      <c r="D86" s="15" t="s">
        <v>131</v>
      </c>
      <c r="E86" s="41"/>
      <c r="F86" s="41">
        <f>1</f>
        <v>1</v>
      </c>
      <c r="G86" s="13" t="s">
        <v>31</v>
      </c>
      <c r="H86" s="46">
        <f>1203.4/F86</f>
        <v>1203.4000000000001</v>
      </c>
      <c r="I86" s="54">
        <f>F86*H86</f>
        <v>1203.4000000000001</v>
      </c>
      <c r="J86" s="13" t="s">
        <v>118</v>
      </c>
      <c r="K86" s="84"/>
      <c r="L86" s="82"/>
    </row>
    <row r="87" spans="1:12" ht="18.75" x14ac:dyDescent="0.25">
      <c r="A87" s="9"/>
      <c r="B87" s="8"/>
      <c r="C87" s="4"/>
      <c r="D87" s="15" t="s">
        <v>146</v>
      </c>
      <c r="E87" s="41"/>
      <c r="F87" s="41">
        <f>1</f>
        <v>1</v>
      </c>
      <c r="G87" s="13" t="s">
        <v>31</v>
      </c>
      <c r="H87" s="41">
        <f>34384.2/F87</f>
        <v>34384.199999999997</v>
      </c>
      <c r="I87" s="54">
        <f>F87*H87</f>
        <v>34384.199999999997</v>
      </c>
      <c r="J87" s="13"/>
      <c r="K87" s="84"/>
      <c r="L87" s="82"/>
    </row>
    <row r="88" spans="1:12" ht="18.75" x14ac:dyDescent="0.25">
      <c r="A88" s="9"/>
      <c r="B88" s="8"/>
      <c r="C88" s="4"/>
      <c r="D88" s="15" t="s">
        <v>186</v>
      </c>
      <c r="E88" s="41"/>
      <c r="F88" s="41">
        <f>1+5</f>
        <v>6</v>
      </c>
      <c r="G88" s="13" t="s">
        <v>31</v>
      </c>
      <c r="H88" s="46">
        <f>(1552+7753.6)/F88</f>
        <v>1550.9333333333334</v>
      </c>
      <c r="I88" s="54">
        <f t="shared" ref="I88:I89" si="4">F88*H88</f>
        <v>9305.6</v>
      </c>
      <c r="J88" s="13" t="s">
        <v>120</v>
      </c>
      <c r="K88" s="84"/>
      <c r="L88" s="82"/>
    </row>
    <row r="89" spans="1:12" ht="18.75" x14ac:dyDescent="0.25">
      <c r="A89" s="9"/>
      <c r="B89" s="8"/>
      <c r="C89" s="4"/>
      <c r="D89" s="15" t="s">
        <v>187</v>
      </c>
      <c r="E89" s="41"/>
      <c r="F89" s="41">
        <f>1+5</f>
        <v>6</v>
      </c>
      <c r="G89" s="13" t="s">
        <v>31</v>
      </c>
      <c r="H89" s="46">
        <f>(6406.2+32026.4)/F89</f>
        <v>6405.4333333333334</v>
      </c>
      <c r="I89" s="54">
        <f t="shared" si="4"/>
        <v>38432.6</v>
      </c>
      <c r="J89" s="13" t="s">
        <v>120</v>
      </c>
      <c r="K89" s="84"/>
      <c r="L89" s="82"/>
    </row>
    <row r="90" spans="1:12" ht="18.75" x14ac:dyDescent="0.25">
      <c r="A90" s="9"/>
      <c r="B90" s="8"/>
      <c r="C90" s="4"/>
      <c r="D90" s="15" t="s">
        <v>234</v>
      </c>
      <c r="E90" s="41"/>
      <c r="F90" s="41">
        <v>3</v>
      </c>
      <c r="G90" s="13" t="s">
        <v>31</v>
      </c>
      <c r="H90" s="46">
        <f>113348.8/F90</f>
        <v>37782.933333333334</v>
      </c>
      <c r="I90" s="54">
        <f>F90*H90</f>
        <v>113348.8</v>
      </c>
      <c r="J90" s="13" t="s">
        <v>118</v>
      </c>
      <c r="K90" s="84"/>
      <c r="L90" s="82"/>
    </row>
    <row r="91" spans="1:12" ht="18.75" x14ac:dyDescent="0.25">
      <c r="A91" s="9" t="s">
        <v>20</v>
      </c>
      <c r="B91" s="8"/>
      <c r="C91" s="4"/>
      <c r="D91" s="15" t="s">
        <v>67</v>
      </c>
      <c r="E91" s="41" t="s">
        <v>138</v>
      </c>
      <c r="F91" s="41" t="s">
        <v>138</v>
      </c>
      <c r="G91" s="13" t="s">
        <v>30</v>
      </c>
      <c r="H91" s="41" t="s">
        <v>138</v>
      </c>
      <c r="I91" s="41" t="s">
        <v>138</v>
      </c>
      <c r="J91" s="13"/>
      <c r="K91" s="84"/>
      <c r="L91" s="82"/>
    </row>
    <row r="92" spans="1:12" ht="31.5" x14ac:dyDescent="0.25">
      <c r="A92" s="9" t="s">
        <v>21</v>
      </c>
      <c r="B92" s="8"/>
      <c r="C92" s="4"/>
      <c r="D92" s="15" t="s">
        <v>69</v>
      </c>
      <c r="E92" s="41" t="s">
        <v>138</v>
      </c>
      <c r="F92" s="41" t="s">
        <v>138</v>
      </c>
      <c r="G92" s="13" t="s">
        <v>53</v>
      </c>
      <c r="H92" s="41" t="s">
        <v>138</v>
      </c>
      <c r="I92" s="41" t="s">
        <v>138</v>
      </c>
      <c r="J92" s="13"/>
      <c r="K92" s="84"/>
      <c r="L92" s="82"/>
    </row>
    <row r="93" spans="1:12" ht="18.75" x14ac:dyDescent="0.25">
      <c r="A93" s="47"/>
      <c r="B93" s="48"/>
      <c r="C93" s="22"/>
      <c r="D93" s="30"/>
      <c r="E93" s="45"/>
      <c r="F93" s="45"/>
      <c r="G93" s="31"/>
      <c r="H93" s="41"/>
      <c r="I93" s="46">
        <f>SUM(I78:I92)</f>
        <v>645019.19999999995</v>
      </c>
      <c r="J93" s="13"/>
      <c r="K93" s="84"/>
      <c r="L93" s="82"/>
    </row>
    <row r="94" spans="1:12" ht="18.75" x14ac:dyDescent="0.3">
      <c r="A94" s="72" t="s">
        <v>70</v>
      </c>
      <c r="B94" s="73"/>
      <c r="C94" s="73"/>
      <c r="D94" s="73"/>
      <c r="E94" s="73"/>
      <c r="F94" s="73"/>
      <c r="G94" s="74"/>
      <c r="H94" s="19"/>
      <c r="I94" s="5"/>
      <c r="J94" s="13"/>
      <c r="K94" s="84"/>
      <c r="L94" s="82"/>
    </row>
    <row r="95" spans="1:12" ht="37.5" x14ac:dyDescent="0.25">
      <c r="A95" s="9" t="s">
        <v>91</v>
      </c>
      <c r="B95" s="8"/>
      <c r="C95" s="4"/>
      <c r="D95" s="4" t="s">
        <v>126</v>
      </c>
      <c r="E95" s="31"/>
      <c r="F95" s="13">
        <f>20+20+10+10+10+20+10+10+10+10+5</f>
        <v>135</v>
      </c>
      <c r="G95" s="13" t="s">
        <v>115</v>
      </c>
      <c r="H95" s="33">
        <f>(14044.6+14044.6+7020.6+7064.6+7064.6+14131.2+7341+7341.4+7341.4+7435.2+3718)/F95/3</f>
        <v>238.38814814814813</v>
      </c>
      <c r="I95" s="33">
        <f>F95*H95</f>
        <v>32182.399999999998</v>
      </c>
      <c r="J95" s="13" t="s">
        <v>116</v>
      </c>
      <c r="K95" s="84"/>
      <c r="L95" s="82"/>
    </row>
    <row r="96" spans="1:12" ht="18.75" x14ac:dyDescent="0.25">
      <c r="A96" s="9"/>
      <c r="B96" s="8"/>
      <c r="C96" s="4"/>
      <c r="D96" s="15" t="s">
        <v>146</v>
      </c>
      <c r="E96" s="41" t="s">
        <v>138</v>
      </c>
      <c r="F96" s="41" t="s">
        <v>138</v>
      </c>
      <c r="G96" s="13" t="s">
        <v>31</v>
      </c>
      <c r="H96" s="41"/>
      <c r="I96" s="41" t="s">
        <v>138</v>
      </c>
      <c r="J96" s="13"/>
      <c r="K96" s="84"/>
      <c r="L96" s="82"/>
    </row>
    <row r="97" spans="1:12" ht="31.5" x14ac:dyDescent="0.25">
      <c r="A97" s="9"/>
      <c r="B97" s="8"/>
      <c r="C97" s="4"/>
      <c r="D97" s="15" t="s">
        <v>231</v>
      </c>
      <c r="E97" s="41" t="s">
        <v>138</v>
      </c>
      <c r="F97" s="41">
        <f>1+1.5</f>
        <v>2.5</v>
      </c>
      <c r="G97" s="13" t="s">
        <v>30</v>
      </c>
      <c r="H97" s="41">
        <f>(585.2+759.8)/F97</f>
        <v>538</v>
      </c>
      <c r="I97" s="54">
        <f>F97*H97</f>
        <v>1345</v>
      </c>
      <c r="J97" s="13" t="s">
        <v>118</v>
      </c>
      <c r="K97" s="84"/>
      <c r="L97" s="82"/>
    </row>
    <row r="98" spans="1:12" ht="78.75" x14ac:dyDescent="0.25">
      <c r="A98" s="9"/>
      <c r="B98" s="8"/>
      <c r="C98" s="4"/>
      <c r="D98" s="15" t="s">
        <v>232</v>
      </c>
      <c r="E98" s="41" t="s">
        <v>138</v>
      </c>
      <c r="F98" s="41">
        <f>2+3</f>
        <v>5</v>
      </c>
      <c r="G98" s="13" t="s">
        <v>155</v>
      </c>
      <c r="H98" s="41">
        <f>(110.4+165.6)/F98</f>
        <v>55.2</v>
      </c>
      <c r="I98" s="54">
        <f>F98*H98</f>
        <v>276</v>
      </c>
      <c r="J98" s="13" t="s">
        <v>118</v>
      </c>
      <c r="K98" s="84"/>
      <c r="L98" s="82"/>
    </row>
    <row r="99" spans="1:12" ht="47.25" x14ac:dyDescent="0.25">
      <c r="A99" s="9"/>
      <c r="B99" s="8"/>
      <c r="C99" s="4"/>
      <c r="D99" s="15" t="s">
        <v>233</v>
      </c>
      <c r="E99" s="41" t="s">
        <v>138</v>
      </c>
      <c r="F99" s="41">
        <f>1+1.5</f>
        <v>2.5</v>
      </c>
      <c r="G99" s="13" t="s">
        <v>30</v>
      </c>
      <c r="H99" s="41">
        <f>(612+290.2)/F99</f>
        <v>360.88</v>
      </c>
      <c r="I99" s="54">
        <f>F99*H99</f>
        <v>902.2</v>
      </c>
      <c r="J99" s="13" t="s">
        <v>118</v>
      </c>
      <c r="K99" s="84"/>
      <c r="L99" s="82"/>
    </row>
    <row r="100" spans="1:12" ht="18.75" x14ac:dyDescent="0.25">
      <c r="A100" s="9" t="s">
        <v>82</v>
      </c>
      <c r="B100" s="8"/>
      <c r="C100" s="4"/>
      <c r="D100" s="15" t="s">
        <v>68</v>
      </c>
      <c r="E100" s="41" t="s">
        <v>138</v>
      </c>
      <c r="F100" s="41" t="s">
        <v>138</v>
      </c>
      <c r="G100" s="13" t="s">
        <v>53</v>
      </c>
      <c r="H100" s="41"/>
      <c r="I100" s="41" t="s">
        <v>138</v>
      </c>
      <c r="J100" s="13"/>
      <c r="K100" s="84"/>
      <c r="L100" s="82"/>
    </row>
    <row r="101" spans="1:12" ht="18.75" x14ac:dyDescent="0.25">
      <c r="A101" s="9"/>
      <c r="B101" s="8"/>
      <c r="C101" s="4"/>
      <c r="D101" s="15" t="s">
        <v>193</v>
      </c>
      <c r="E101" s="41" t="s">
        <v>138</v>
      </c>
      <c r="F101" s="41">
        <f>3+2+1+3</f>
        <v>9</v>
      </c>
      <c r="G101" s="13" t="s">
        <v>31</v>
      </c>
      <c r="H101" s="46">
        <f>(3673.4+4629.4+2358+3662.2)/F101</f>
        <v>1591.4444444444443</v>
      </c>
      <c r="I101" s="54">
        <f>F101*H101</f>
        <v>14323</v>
      </c>
      <c r="J101" s="13" t="s">
        <v>176</v>
      </c>
      <c r="K101" s="86"/>
      <c r="L101" s="82"/>
    </row>
    <row r="102" spans="1:12" ht="31.5" x14ac:dyDescent="0.25">
      <c r="A102" s="9" t="s">
        <v>21</v>
      </c>
      <c r="B102" s="8"/>
      <c r="C102" s="4"/>
      <c r="D102" s="15" t="s">
        <v>69</v>
      </c>
      <c r="E102" s="41" t="s">
        <v>138</v>
      </c>
      <c r="F102" s="41" t="s">
        <v>138</v>
      </c>
      <c r="G102" s="13" t="s">
        <v>141</v>
      </c>
      <c r="H102" s="41"/>
      <c r="I102" s="41" t="s">
        <v>138</v>
      </c>
      <c r="J102" s="13"/>
      <c r="K102" s="84"/>
      <c r="L102" s="82"/>
    </row>
    <row r="103" spans="1:12" ht="18.75" x14ac:dyDescent="0.25">
      <c r="A103" s="47"/>
      <c r="B103" s="48"/>
      <c r="C103" s="22"/>
      <c r="D103" s="30"/>
      <c r="E103" s="45"/>
      <c r="F103" s="45"/>
      <c r="G103" s="31"/>
      <c r="H103" s="41"/>
      <c r="I103" s="46">
        <f>SUM(I95:I102)</f>
        <v>49028.599999999991</v>
      </c>
      <c r="J103" s="13"/>
      <c r="K103" s="84"/>
      <c r="L103" s="82"/>
    </row>
    <row r="104" spans="1:12" ht="18.75" x14ac:dyDescent="0.3">
      <c r="A104" s="72" t="s">
        <v>71</v>
      </c>
      <c r="B104" s="73"/>
      <c r="C104" s="73"/>
      <c r="D104" s="73"/>
      <c r="E104" s="73"/>
      <c r="F104" s="73"/>
      <c r="G104" s="74"/>
      <c r="H104" s="13"/>
      <c r="I104" s="5"/>
      <c r="J104" s="13"/>
      <c r="K104" s="84"/>
      <c r="L104" s="82"/>
    </row>
    <row r="105" spans="1:12" ht="37.5" x14ac:dyDescent="0.25">
      <c r="A105" s="9" t="s">
        <v>91</v>
      </c>
      <c r="B105" s="8"/>
      <c r="C105" s="4"/>
      <c r="D105" s="4" t="s">
        <v>127</v>
      </c>
      <c r="E105" s="31"/>
      <c r="F105" s="13">
        <f>20+20+10+10+10+20+10+10+10+10+5</f>
        <v>135</v>
      </c>
      <c r="G105" s="13" t="s">
        <v>115</v>
      </c>
      <c r="H105" s="33">
        <f>(14044.6+14044.6+7020.6+7064.6+7064.6+14131.2+7341+7341.4+7341.4+7435.2+3718)/F105/3</f>
        <v>238.38814814814813</v>
      </c>
      <c r="I105" s="33">
        <f>F105*H105</f>
        <v>32182.399999999998</v>
      </c>
      <c r="J105" s="13" t="s">
        <v>116</v>
      </c>
      <c r="K105" s="84"/>
      <c r="L105" s="82"/>
    </row>
    <row r="106" spans="1:12" ht="18.75" x14ac:dyDescent="0.25">
      <c r="A106" s="9" t="s">
        <v>82</v>
      </c>
      <c r="B106" s="8"/>
      <c r="C106" s="4"/>
      <c r="D106" s="15" t="s">
        <v>68</v>
      </c>
      <c r="E106" s="41" t="s">
        <v>138</v>
      </c>
      <c r="F106" s="41" t="s">
        <v>138</v>
      </c>
      <c r="G106" s="14" t="s">
        <v>53</v>
      </c>
      <c r="H106" s="41"/>
      <c r="I106" s="41" t="s">
        <v>138</v>
      </c>
      <c r="J106" s="13"/>
      <c r="K106" s="84"/>
      <c r="L106" s="82"/>
    </row>
    <row r="107" spans="1:12" ht="18.75" x14ac:dyDescent="0.25">
      <c r="A107" s="9"/>
      <c r="B107" s="8"/>
      <c r="C107" s="4"/>
      <c r="D107" s="15" t="s">
        <v>178</v>
      </c>
      <c r="E107" s="41" t="s">
        <v>138</v>
      </c>
      <c r="F107" s="41">
        <f>2+4</f>
        <v>6</v>
      </c>
      <c r="G107" s="13" t="s">
        <v>31</v>
      </c>
      <c r="H107" s="46">
        <f>(2463.6+4467.6)/F107</f>
        <v>1155.2</v>
      </c>
      <c r="I107" s="54">
        <f>F107*H107</f>
        <v>6931.2000000000007</v>
      </c>
      <c r="J107" s="13" t="s">
        <v>120</v>
      </c>
      <c r="K107" s="84"/>
      <c r="L107" s="82"/>
    </row>
    <row r="108" spans="1:12" ht="31.5" x14ac:dyDescent="0.25">
      <c r="A108" s="9" t="s">
        <v>21</v>
      </c>
      <c r="B108" s="8"/>
      <c r="C108" s="4"/>
      <c r="D108" s="15" t="s">
        <v>69</v>
      </c>
      <c r="E108" s="41" t="s">
        <v>138</v>
      </c>
      <c r="F108" s="41" t="s">
        <v>138</v>
      </c>
      <c r="G108" s="14" t="s">
        <v>53</v>
      </c>
      <c r="H108" s="41"/>
      <c r="I108" s="41" t="s">
        <v>138</v>
      </c>
      <c r="J108" s="13"/>
      <c r="K108" s="84"/>
      <c r="L108" s="82"/>
    </row>
    <row r="109" spans="1:12" ht="18.75" x14ac:dyDescent="0.25">
      <c r="A109" s="47"/>
      <c r="B109" s="48"/>
      <c r="C109" s="22"/>
      <c r="D109" s="30"/>
      <c r="E109" s="45"/>
      <c r="F109" s="45"/>
      <c r="G109" s="12"/>
      <c r="H109" s="41"/>
      <c r="I109" s="46">
        <f>SUM(I105:I108)</f>
        <v>39113.599999999999</v>
      </c>
      <c r="J109" s="13"/>
      <c r="K109" s="84"/>
      <c r="L109" s="82"/>
    </row>
    <row r="110" spans="1:12" ht="18.75" x14ac:dyDescent="0.3">
      <c r="A110" s="72" t="s">
        <v>72</v>
      </c>
      <c r="B110" s="73"/>
      <c r="C110" s="73"/>
      <c r="D110" s="73"/>
      <c r="E110" s="73"/>
      <c r="F110" s="73"/>
      <c r="G110" s="74"/>
      <c r="H110" s="19"/>
      <c r="I110" s="5"/>
      <c r="J110" s="13"/>
      <c r="K110" s="84"/>
      <c r="L110" s="82"/>
    </row>
    <row r="111" spans="1:12" ht="37.5" x14ac:dyDescent="0.25">
      <c r="A111" s="9" t="s">
        <v>97</v>
      </c>
      <c r="B111" s="8"/>
      <c r="C111" s="4"/>
      <c r="D111" s="4" t="s">
        <v>128</v>
      </c>
      <c r="E111" s="31"/>
      <c r="F111" s="13">
        <f>20+20+10+10+10+20+10+10+10+10+5</f>
        <v>135</v>
      </c>
      <c r="G111" s="13" t="s">
        <v>115</v>
      </c>
      <c r="H111" s="33">
        <f>(14044.6+14044.6+7020.6+7064.6+7064.6+14131.2+7341+7341.4+7341.4+7435.2+3718)/F111/3</f>
        <v>238.38814814814813</v>
      </c>
      <c r="I111" s="33">
        <f>F111*H111</f>
        <v>32182.399999999998</v>
      </c>
      <c r="J111" s="13" t="s">
        <v>116</v>
      </c>
      <c r="K111" s="84"/>
      <c r="L111" s="82"/>
    </row>
    <row r="112" spans="1:12" ht="31.5" x14ac:dyDescent="0.25">
      <c r="A112" s="9"/>
      <c r="B112" s="8"/>
      <c r="C112" s="4"/>
      <c r="D112" s="15" t="s">
        <v>177</v>
      </c>
      <c r="E112" s="41"/>
      <c r="F112" s="41">
        <f>1.5+1+1.5+1</f>
        <v>5</v>
      </c>
      <c r="G112" s="13" t="s">
        <v>30</v>
      </c>
      <c r="H112" s="46">
        <f>(1948.2+1330+1995.4+1351)/F112</f>
        <v>1324.92</v>
      </c>
      <c r="I112" s="54">
        <f>F112*H112</f>
        <v>6624.6</v>
      </c>
      <c r="J112" s="13" t="s">
        <v>120</v>
      </c>
      <c r="K112" s="84"/>
      <c r="L112" s="82"/>
    </row>
    <row r="113" spans="1:12" ht="18.75" x14ac:dyDescent="0.25">
      <c r="A113" s="9"/>
      <c r="B113" s="8"/>
      <c r="C113" s="4"/>
      <c r="D113" s="4" t="s">
        <v>114</v>
      </c>
      <c r="E113" s="41"/>
      <c r="F113" s="41">
        <f>10+5</f>
        <v>15</v>
      </c>
      <c r="G113" s="13" t="s">
        <v>30</v>
      </c>
      <c r="H113" s="46">
        <f>(3342.4+1791.8)/F113</f>
        <v>342.28</v>
      </c>
      <c r="I113" s="41">
        <f>F113*H113</f>
        <v>5134.2</v>
      </c>
      <c r="J113" s="13" t="s">
        <v>116</v>
      </c>
      <c r="K113" s="84"/>
      <c r="L113" s="82"/>
    </row>
    <row r="114" spans="1:12" ht="18.75" x14ac:dyDescent="0.25">
      <c r="A114" s="9"/>
      <c r="B114" s="8"/>
      <c r="C114" s="4"/>
      <c r="D114" s="4" t="s">
        <v>149</v>
      </c>
      <c r="E114" s="41" t="s">
        <v>138</v>
      </c>
      <c r="F114" s="41" t="s">
        <v>138</v>
      </c>
      <c r="G114" s="13" t="s">
        <v>30</v>
      </c>
      <c r="H114" s="41"/>
      <c r="I114" s="41" t="s">
        <v>138</v>
      </c>
      <c r="J114" s="13"/>
      <c r="K114" s="84"/>
      <c r="L114" s="82"/>
    </row>
    <row r="115" spans="1:12" ht="18.75" x14ac:dyDescent="0.25">
      <c r="A115" s="9" t="s">
        <v>22</v>
      </c>
      <c r="B115" s="8"/>
      <c r="C115" s="4"/>
      <c r="D115" s="4" t="s">
        <v>75</v>
      </c>
      <c r="E115" s="41" t="s">
        <v>138</v>
      </c>
      <c r="F115" s="41" t="s">
        <v>138</v>
      </c>
      <c r="G115" s="13" t="s">
        <v>30</v>
      </c>
      <c r="H115" s="41" t="s">
        <v>138</v>
      </c>
      <c r="I115" s="41" t="s">
        <v>138</v>
      </c>
      <c r="J115" s="13"/>
      <c r="K115" s="84"/>
      <c r="L115" s="82"/>
    </row>
    <row r="116" spans="1:12" ht="18.75" x14ac:dyDescent="0.25">
      <c r="A116" s="47"/>
      <c r="B116" s="48"/>
      <c r="C116" s="22"/>
      <c r="D116" s="22"/>
      <c r="E116" s="45"/>
      <c r="F116" s="45"/>
      <c r="G116" s="31"/>
      <c r="H116" s="41"/>
      <c r="I116" s="46">
        <f>SUM(I111:I115)</f>
        <v>43941.2</v>
      </c>
      <c r="J116" s="13"/>
      <c r="K116" s="84"/>
      <c r="L116" s="82"/>
    </row>
    <row r="117" spans="1:12" ht="18.75" x14ac:dyDescent="0.3">
      <c r="A117" s="72" t="s">
        <v>77</v>
      </c>
      <c r="B117" s="73"/>
      <c r="C117" s="73"/>
      <c r="D117" s="73"/>
      <c r="E117" s="73"/>
      <c r="F117" s="73"/>
      <c r="G117" s="74"/>
      <c r="H117" s="5"/>
      <c r="I117" s="5"/>
      <c r="J117" s="13"/>
      <c r="K117" s="84"/>
      <c r="L117" s="82"/>
    </row>
    <row r="118" spans="1:12" ht="38.25" customHeight="1" x14ac:dyDescent="0.25">
      <c r="A118" s="9" t="s">
        <v>23</v>
      </c>
      <c r="B118" s="5"/>
      <c r="C118" s="4"/>
      <c r="D118" s="15" t="s">
        <v>139</v>
      </c>
      <c r="E118" s="41" t="s">
        <v>138</v>
      </c>
      <c r="F118" s="41" t="s">
        <v>138</v>
      </c>
      <c r="G118" s="13" t="s">
        <v>53</v>
      </c>
      <c r="H118" s="41" t="s">
        <v>138</v>
      </c>
      <c r="I118" s="41" t="s">
        <v>138</v>
      </c>
      <c r="J118" s="13"/>
      <c r="K118" s="84"/>
      <c r="L118" s="82"/>
    </row>
    <row r="119" spans="1:12" ht="38.25" customHeight="1" x14ac:dyDescent="0.25">
      <c r="A119" s="9"/>
      <c r="B119" s="5"/>
      <c r="C119" s="4"/>
      <c r="D119" s="15" t="s">
        <v>192</v>
      </c>
      <c r="E119" s="41"/>
      <c r="F119" s="41">
        <f>2</f>
        <v>2</v>
      </c>
      <c r="G119" s="13" t="s">
        <v>31</v>
      </c>
      <c r="H119" s="41">
        <f>2009.2/F119</f>
        <v>1004.6</v>
      </c>
      <c r="I119" s="41">
        <f>F119*H119</f>
        <v>2009.2</v>
      </c>
      <c r="J119" s="13" t="s">
        <v>120</v>
      </c>
      <c r="K119" s="84"/>
      <c r="L119" s="82"/>
    </row>
    <row r="120" spans="1:12" ht="38.25" customHeight="1" x14ac:dyDescent="0.25">
      <c r="A120" s="9"/>
      <c r="B120" s="5"/>
      <c r="C120" s="4"/>
      <c r="D120" s="15" t="s">
        <v>188</v>
      </c>
      <c r="E120" s="41" t="s">
        <v>138</v>
      </c>
      <c r="F120" s="41">
        <f>2.5+10</f>
        <v>12.5</v>
      </c>
      <c r="G120" s="13" t="s">
        <v>142</v>
      </c>
      <c r="H120" s="41">
        <f>(4215.4+2449)/F120</f>
        <v>533.15199999999993</v>
      </c>
      <c r="I120" s="54">
        <f>F120*H120</f>
        <v>6664.3999999999987</v>
      </c>
      <c r="J120" s="13" t="s">
        <v>181</v>
      </c>
      <c r="K120" s="84"/>
      <c r="L120" s="82"/>
    </row>
    <row r="121" spans="1:12" ht="18.75" x14ac:dyDescent="0.25">
      <c r="A121" s="9" t="s">
        <v>24</v>
      </c>
      <c r="B121" s="5"/>
      <c r="C121" s="4"/>
      <c r="D121" s="4" t="s">
        <v>76</v>
      </c>
      <c r="E121" s="41" t="s">
        <v>138</v>
      </c>
      <c r="F121" s="41" t="s">
        <v>138</v>
      </c>
      <c r="G121" s="13" t="s">
        <v>53</v>
      </c>
      <c r="H121" s="41"/>
      <c r="I121" s="41" t="s">
        <v>138</v>
      </c>
      <c r="J121" s="13"/>
      <c r="K121" s="84"/>
      <c r="L121" s="82"/>
    </row>
    <row r="122" spans="1:12" ht="31.5" x14ac:dyDescent="0.25">
      <c r="A122" s="9" t="s">
        <v>124</v>
      </c>
      <c r="B122" s="5"/>
      <c r="C122" s="4"/>
      <c r="D122" s="15" t="s">
        <v>166</v>
      </c>
      <c r="E122" s="41"/>
      <c r="F122" s="41"/>
      <c r="G122" s="13" t="s">
        <v>53</v>
      </c>
      <c r="H122" s="41"/>
      <c r="I122" s="41"/>
      <c r="J122" s="13"/>
      <c r="K122" s="84"/>
      <c r="L122" s="82"/>
    </row>
    <row r="123" spans="1:12" ht="18.75" x14ac:dyDescent="0.25">
      <c r="A123" s="9"/>
      <c r="B123" s="5"/>
      <c r="C123" s="4"/>
      <c r="D123" s="15" t="s">
        <v>190</v>
      </c>
      <c r="E123" s="41"/>
      <c r="F123" s="41">
        <f>66+20</f>
        <v>86</v>
      </c>
      <c r="G123" s="13" t="s">
        <v>142</v>
      </c>
      <c r="H123" s="46">
        <f>(18917.6+5043.8)/F123</f>
        <v>278.62093023255812</v>
      </c>
      <c r="I123" s="54">
        <f>F123*H123+3.2</f>
        <v>23964.6</v>
      </c>
      <c r="J123" s="13" t="s">
        <v>120</v>
      </c>
      <c r="K123" s="84"/>
      <c r="L123" s="82"/>
    </row>
    <row r="124" spans="1:12" ht="18.75" x14ac:dyDescent="0.25">
      <c r="A124" s="9"/>
      <c r="B124" s="5"/>
      <c r="C124" s="4"/>
      <c r="D124" s="15" t="s">
        <v>223</v>
      </c>
      <c r="E124" s="41"/>
      <c r="F124" s="41">
        <v>10</v>
      </c>
      <c r="G124" s="13" t="s">
        <v>142</v>
      </c>
      <c r="H124" s="46">
        <f>(3816.2)/F124</f>
        <v>381.62</v>
      </c>
      <c r="I124" s="54">
        <f t="shared" ref="I124:I125" si="5">F124*H124</f>
        <v>3816.2</v>
      </c>
      <c r="J124" s="13" t="s">
        <v>120</v>
      </c>
      <c r="K124" s="84"/>
      <c r="L124" s="82"/>
    </row>
    <row r="125" spans="1:12" ht="18.75" x14ac:dyDescent="0.25">
      <c r="A125" s="9"/>
      <c r="B125" s="5"/>
      <c r="C125" s="4"/>
      <c r="D125" s="15" t="s">
        <v>224</v>
      </c>
      <c r="E125" s="41"/>
      <c r="F125" s="41">
        <v>13</v>
      </c>
      <c r="G125" s="13" t="s">
        <v>31</v>
      </c>
      <c r="H125" s="46">
        <f>(12836.4)/F125</f>
        <v>987.4153846153846</v>
      </c>
      <c r="I125" s="54">
        <f t="shared" si="5"/>
        <v>12836.4</v>
      </c>
      <c r="J125" s="13" t="s">
        <v>120</v>
      </c>
      <c r="K125" s="84"/>
      <c r="L125" s="82"/>
    </row>
    <row r="126" spans="1:12" ht="18.75" x14ac:dyDescent="0.25">
      <c r="A126" s="9"/>
      <c r="B126" s="5"/>
      <c r="C126" s="4"/>
      <c r="D126" s="15" t="s">
        <v>221</v>
      </c>
      <c r="E126" s="41"/>
      <c r="F126" s="41">
        <v>22</v>
      </c>
      <c r="G126" s="13" t="s">
        <v>31</v>
      </c>
      <c r="H126" s="46">
        <f>1253.6/F126</f>
        <v>56.981818181818177</v>
      </c>
      <c r="I126" s="54">
        <f>F126*H126</f>
        <v>1253.5999999999999</v>
      </c>
      <c r="J126" s="13" t="s">
        <v>120</v>
      </c>
      <c r="K126" s="84"/>
      <c r="L126" s="82"/>
    </row>
    <row r="127" spans="1:12" ht="18.75" x14ac:dyDescent="0.25">
      <c r="A127" s="9"/>
      <c r="B127" s="5"/>
      <c r="C127" s="4"/>
      <c r="D127" s="15" t="s">
        <v>222</v>
      </c>
      <c r="E127" s="41"/>
      <c r="F127" s="41">
        <f>22</f>
        <v>22</v>
      </c>
      <c r="G127" s="13" t="s">
        <v>31</v>
      </c>
      <c r="H127" s="46">
        <f>(44188.8)/F127</f>
        <v>2008.5818181818183</v>
      </c>
      <c r="I127" s="54">
        <f>F127*H127</f>
        <v>44188.800000000003</v>
      </c>
      <c r="J127" s="13" t="s">
        <v>120</v>
      </c>
      <c r="K127" s="84"/>
      <c r="L127" s="82"/>
    </row>
    <row r="128" spans="1:12" ht="31.5" x14ac:dyDescent="0.25">
      <c r="A128" s="9"/>
      <c r="B128" s="5"/>
      <c r="C128" s="4"/>
      <c r="D128" s="15" t="s">
        <v>125</v>
      </c>
      <c r="E128" s="41"/>
      <c r="F128" s="41">
        <f>1+1</f>
        <v>2</v>
      </c>
      <c r="G128" s="13" t="s">
        <v>31</v>
      </c>
      <c r="H128" s="46">
        <f>(1761+1799.8)/F128</f>
        <v>1780.4</v>
      </c>
      <c r="I128" s="58">
        <f>F128*H128</f>
        <v>3560.8</v>
      </c>
      <c r="J128" s="13" t="s">
        <v>144</v>
      </c>
      <c r="K128" s="84"/>
      <c r="L128" s="82"/>
    </row>
    <row r="129" spans="1:12" ht="18.75" x14ac:dyDescent="0.25">
      <c r="A129" s="9"/>
      <c r="B129" s="5"/>
      <c r="C129" s="4"/>
      <c r="D129" s="15" t="s">
        <v>156</v>
      </c>
      <c r="E129" s="41"/>
      <c r="F129" s="41">
        <f>8</f>
        <v>8</v>
      </c>
      <c r="G129" s="13" t="s">
        <v>53</v>
      </c>
      <c r="H129" s="46">
        <f>622.8/F129</f>
        <v>77.849999999999994</v>
      </c>
      <c r="I129" s="41">
        <f>F129*H129</f>
        <v>622.79999999999995</v>
      </c>
      <c r="J129" s="13" t="s">
        <v>116</v>
      </c>
      <c r="K129" s="84"/>
      <c r="L129" s="82"/>
    </row>
    <row r="130" spans="1:12" ht="18.75" x14ac:dyDescent="0.25">
      <c r="A130" s="9"/>
      <c r="B130" s="5"/>
      <c r="C130" s="4"/>
      <c r="D130" s="15" t="s">
        <v>106</v>
      </c>
      <c r="E130" s="32"/>
      <c r="F130" s="13">
        <f>13+8+6+18+7+25+1+3+22</f>
        <v>103</v>
      </c>
      <c r="G130" s="13" t="s">
        <v>53</v>
      </c>
      <c r="H130" s="33">
        <f>(2725.2+1049.8+1398+3156+1182.6+4224.8+172+3206+3796.4)/F130</f>
        <v>203.01747572815538</v>
      </c>
      <c r="I130" s="13">
        <f t="shared" ref="I130" si="6">F130*H130</f>
        <v>20910.800000000003</v>
      </c>
      <c r="J130" s="13" t="s">
        <v>116</v>
      </c>
      <c r="K130" s="84"/>
      <c r="L130" s="82"/>
    </row>
    <row r="131" spans="1:12" ht="18.75" x14ac:dyDescent="0.25">
      <c r="A131" s="9"/>
      <c r="B131" s="5"/>
      <c r="C131" s="4"/>
      <c r="D131" s="15" t="s">
        <v>164</v>
      </c>
      <c r="E131" s="41"/>
      <c r="F131" s="41">
        <f>2</f>
        <v>2</v>
      </c>
      <c r="G131" s="13" t="s">
        <v>31</v>
      </c>
      <c r="H131" s="46">
        <f>622.2/F131</f>
        <v>311.10000000000002</v>
      </c>
      <c r="I131" s="41">
        <f>F131*H131</f>
        <v>622.20000000000005</v>
      </c>
      <c r="J131" s="13" t="s">
        <v>120</v>
      </c>
      <c r="K131" s="84"/>
      <c r="L131" s="82"/>
    </row>
    <row r="132" spans="1:12" ht="56.25" x14ac:dyDescent="0.25">
      <c r="A132" s="9" t="s">
        <v>107</v>
      </c>
      <c r="B132" s="5"/>
      <c r="C132" s="4"/>
      <c r="D132" s="15" t="s">
        <v>122</v>
      </c>
      <c r="E132" s="32"/>
      <c r="F132" s="13">
        <f>27+27+27+27+27+27+27+27+27+27+27</f>
        <v>297</v>
      </c>
      <c r="G132" s="13" t="s">
        <v>108</v>
      </c>
      <c r="H132" s="33">
        <f>(1184.2+1184.2+1184.2+1192.2+1192.2+1192.2+1238.4+1238.4+1238.4+1253.6+1253.6)/F132</f>
        <v>44.954882154882156</v>
      </c>
      <c r="I132" s="13">
        <f>F132*H132</f>
        <v>13351.6</v>
      </c>
      <c r="J132" s="13" t="s">
        <v>116</v>
      </c>
      <c r="K132" s="84"/>
      <c r="L132" s="82"/>
    </row>
    <row r="133" spans="1:12" ht="18.75" x14ac:dyDescent="0.25">
      <c r="A133" s="47"/>
      <c r="B133" s="22"/>
      <c r="C133" s="22"/>
      <c r="D133" s="30"/>
      <c r="E133" s="49"/>
      <c r="F133" s="50"/>
      <c r="G133" s="31"/>
      <c r="H133" s="31"/>
      <c r="I133" s="13">
        <f>SUM(I120:I132)</f>
        <v>131792.20000000001</v>
      </c>
      <c r="J133" s="13"/>
      <c r="K133" s="84"/>
      <c r="L133" s="82"/>
    </row>
    <row r="134" spans="1:12" ht="18.75" x14ac:dyDescent="0.25">
      <c r="A134" s="79" t="s">
        <v>90</v>
      </c>
      <c r="B134" s="80"/>
      <c r="C134" s="80"/>
      <c r="D134" s="80"/>
      <c r="E134" s="80"/>
      <c r="F134" s="80"/>
      <c r="G134" s="81"/>
      <c r="H134" s="12"/>
      <c r="I134" s="5"/>
      <c r="J134" s="13"/>
      <c r="K134" s="84"/>
      <c r="L134" s="82"/>
    </row>
    <row r="135" spans="1:12" ht="18.75" x14ac:dyDescent="0.25">
      <c r="A135" s="26"/>
      <c r="B135" s="27"/>
      <c r="C135" s="27"/>
      <c r="D135" s="36" t="s">
        <v>117</v>
      </c>
      <c r="E135" s="41"/>
      <c r="F135" s="41"/>
      <c r="G135" s="38" t="s">
        <v>31</v>
      </c>
      <c r="H135" s="41"/>
      <c r="I135" s="41"/>
      <c r="J135" s="13"/>
      <c r="K135" s="84"/>
      <c r="L135" s="82"/>
    </row>
    <row r="136" spans="1:12" ht="63" x14ac:dyDescent="0.25">
      <c r="A136" s="9" t="s">
        <v>88</v>
      </c>
      <c r="B136" s="22"/>
      <c r="C136" s="22"/>
      <c r="D136" s="23" t="s">
        <v>119</v>
      </c>
      <c r="E136" s="37">
        <v>920</v>
      </c>
      <c r="F136" s="13">
        <v>920</v>
      </c>
      <c r="G136" s="31" t="s">
        <v>89</v>
      </c>
      <c r="H136" s="31">
        <v>4.8</v>
      </c>
      <c r="I136" s="13">
        <f>F136*H136*12</f>
        <v>52992</v>
      </c>
      <c r="J136" s="13" t="s">
        <v>116</v>
      </c>
      <c r="K136" s="84"/>
      <c r="L136" s="82"/>
    </row>
    <row r="137" spans="1:12" ht="18.75" x14ac:dyDescent="0.25">
      <c r="A137" s="47"/>
      <c r="B137" s="22"/>
      <c r="C137" s="22"/>
      <c r="D137" s="30"/>
      <c r="E137" s="49"/>
      <c r="F137" s="50"/>
      <c r="G137" s="31"/>
      <c r="H137" s="31"/>
      <c r="I137" s="13">
        <f>SUM(I135:I136)</f>
        <v>52992</v>
      </c>
      <c r="J137" s="13"/>
      <c r="K137" s="84"/>
      <c r="L137" s="82"/>
    </row>
    <row r="138" spans="1:12" ht="18.75" x14ac:dyDescent="0.3">
      <c r="A138" s="72" t="s">
        <v>78</v>
      </c>
      <c r="B138" s="73"/>
      <c r="C138" s="73"/>
      <c r="D138" s="73"/>
      <c r="E138" s="73"/>
      <c r="F138" s="73"/>
      <c r="G138" s="74"/>
      <c r="H138" s="19"/>
      <c r="I138" s="5"/>
      <c r="J138" s="13"/>
      <c r="K138" s="84"/>
      <c r="L138" s="82"/>
    </row>
    <row r="139" spans="1:12" ht="46.5" customHeight="1" x14ac:dyDescent="0.3">
      <c r="A139" s="34" t="s">
        <v>130</v>
      </c>
      <c r="B139" s="24"/>
      <c r="C139" s="24"/>
      <c r="D139" s="35" t="s">
        <v>129</v>
      </c>
      <c r="E139" s="13">
        <v>238</v>
      </c>
      <c r="F139" s="13">
        <v>238</v>
      </c>
      <c r="G139" s="13" t="s">
        <v>137</v>
      </c>
      <c r="H139" s="13">
        <v>13</v>
      </c>
      <c r="I139" s="13">
        <f>F139*H139*3</f>
        <v>9282</v>
      </c>
      <c r="J139" s="13" t="s">
        <v>145</v>
      </c>
      <c r="K139" s="84"/>
      <c r="L139" s="82"/>
    </row>
    <row r="140" spans="1:12" ht="18.75" x14ac:dyDescent="0.25">
      <c r="A140" s="9" t="s">
        <v>25</v>
      </c>
      <c r="B140" s="5"/>
      <c r="C140" s="4"/>
      <c r="D140" s="4" t="s">
        <v>74</v>
      </c>
      <c r="E140" s="41" t="s">
        <v>138</v>
      </c>
      <c r="F140" s="41" t="s">
        <v>138</v>
      </c>
      <c r="G140" s="14" t="s">
        <v>53</v>
      </c>
      <c r="H140" s="41" t="s">
        <v>138</v>
      </c>
      <c r="I140" s="41" t="s">
        <v>138</v>
      </c>
      <c r="J140" s="13"/>
      <c r="K140" s="84"/>
      <c r="L140" s="82"/>
    </row>
    <row r="141" spans="1:12" ht="47.25" x14ac:dyDescent="0.25">
      <c r="A141" s="9" t="s">
        <v>26</v>
      </c>
      <c r="B141" s="5"/>
      <c r="C141" s="4"/>
      <c r="D141" s="15" t="s">
        <v>28</v>
      </c>
      <c r="E141" s="41" t="s">
        <v>138</v>
      </c>
      <c r="F141" s="41" t="s">
        <v>138</v>
      </c>
      <c r="G141" s="14" t="s">
        <v>53</v>
      </c>
      <c r="H141" s="41" t="s">
        <v>138</v>
      </c>
      <c r="I141" s="41" t="s">
        <v>138</v>
      </c>
      <c r="J141" s="13"/>
      <c r="K141" s="84"/>
      <c r="L141" s="82"/>
    </row>
    <row r="142" spans="1:12" ht="31.5" x14ac:dyDescent="0.25">
      <c r="A142" s="9" t="s">
        <v>27</v>
      </c>
      <c r="B142" s="5"/>
      <c r="C142" s="4"/>
      <c r="D142" s="15" t="s">
        <v>73</v>
      </c>
      <c r="E142" s="41" t="s">
        <v>138</v>
      </c>
      <c r="F142" s="41" t="s">
        <v>138</v>
      </c>
      <c r="G142" s="14" t="s">
        <v>53</v>
      </c>
      <c r="H142" s="41" t="s">
        <v>138</v>
      </c>
      <c r="I142" s="41" t="s">
        <v>138</v>
      </c>
      <c r="J142" s="13"/>
      <c r="K142" s="84"/>
      <c r="L142" s="82"/>
    </row>
    <row r="143" spans="1:12" ht="18.75" x14ac:dyDescent="0.25">
      <c r="A143" s="47"/>
      <c r="B143" s="22"/>
      <c r="C143" s="22"/>
      <c r="D143" s="30"/>
      <c r="E143" s="45"/>
      <c r="F143" s="45"/>
      <c r="G143" s="12"/>
      <c r="H143" s="51"/>
      <c r="I143" s="51">
        <f>SUM(I139:I142)</f>
        <v>9282</v>
      </c>
      <c r="J143" s="52"/>
      <c r="K143" s="84"/>
      <c r="L143" s="82"/>
    </row>
    <row r="144" spans="1:12" ht="18.75" x14ac:dyDescent="0.3">
      <c r="A144" s="72" t="s">
        <v>83</v>
      </c>
      <c r="B144" s="73"/>
      <c r="C144" s="73"/>
      <c r="D144" s="73"/>
      <c r="E144" s="73"/>
      <c r="F144" s="73"/>
      <c r="G144" s="74"/>
      <c r="H144" s="2"/>
      <c r="I144" s="2"/>
      <c r="J144" s="2"/>
      <c r="K144" s="82"/>
      <c r="L144" s="82"/>
    </row>
    <row r="145" spans="1:12" ht="48" x14ac:dyDescent="0.3">
      <c r="A145" s="6" t="s">
        <v>65</v>
      </c>
      <c r="B145" s="6"/>
      <c r="C145" s="4"/>
      <c r="D145" s="15" t="s">
        <v>84</v>
      </c>
      <c r="E145" s="41" t="s">
        <v>138</v>
      </c>
      <c r="F145" s="41" t="s">
        <v>138</v>
      </c>
      <c r="G145" s="13" t="s">
        <v>30</v>
      </c>
      <c r="H145" s="41" t="s">
        <v>138</v>
      </c>
      <c r="I145" s="41" t="s">
        <v>138</v>
      </c>
      <c r="J145" s="5"/>
      <c r="K145" s="84"/>
      <c r="L145" s="82"/>
    </row>
    <row r="146" spans="1:12" ht="32.25" x14ac:dyDescent="0.3">
      <c r="A146" s="28"/>
      <c r="B146" s="29"/>
      <c r="C146" s="22"/>
      <c r="D146" s="30" t="s">
        <v>109</v>
      </c>
      <c r="E146" s="44" t="s">
        <v>138</v>
      </c>
      <c r="F146" s="41" t="s">
        <v>138</v>
      </c>
      <c r="G146" s="13" t="s">
        <v>110</v>
      </c>
      <c r="H146" s="41" t="s">
        <v>138</v>
      </c>
      <c r="I146" s="41" t="s">
        <v>138</v>
      </c>
      <c r="J146" s="39"/>
      <c r="K146" s="84"/>
      <c r="L146" s="82"/>
    </row>
    <row r="147" spans="1:12" ht="18.75" x14ac:dyDescent="0.3">
      <c r="A147" s="72" t="s">
        <v>98</v>
      </c>
      <c r="B147" s="73"/>
      <c r="C147" s="73"/>
      <c r="D147" s="73"/>
      <c r="E147" s="73"/>
      <c r="F147" s="73"/>
      <c r="G147" s="74"/>
      <c r="H147" s="72"/>
      <c r="I147" s="73"/>
      <c r="J147" s="73"/>
      <c r="K147" s="84"/>
      <c r="L147" s="82"/>
    </row>
    <row r="148" spans="1:12" ht="32.25" x14ac:dyDescent="0.3">
      <c r="A148" s="34" t="s">
        <v>143</v>
      </c>
      <c r="B148" s="24"/>
      <c r="C148" s="24"/>
      <c r="D148" s="40" t="s">
        <v>132</v>
      </c>
      <c r="E148" s="13"/>
      <c r="F148" s="13"/>
      <c r="G148" s="13" t="s">
        <v>133</v>
      </c>
      <c r="H148" s="13"/>
      <c r="I148" s="55"/>
      <c r="J148" s="13"/>
      <c r="K148" s="84"/>
      <c r="L148" s="82"/>
    </row>
    <row r="149" spans="1:12" ht="48" x14ac:dyDescent="0.3">
      <c r="A149" s="24"/>
      <c r="B149" s="24"/>
      <c r="C149" s="24"/>
      <c r="D149" s="40" t="s">
        <v>134</v>
      </c>
      <c r="E149" s="41"/>
      <c r="F149" s="41"/>
      <c r="G149" s="13" t="s">
        <v>135</v>
      </c>
      <c r="H149" s="41"/>
      <c r="I149" s="56"/>
      <c r="J149" s="13"/>
      <c r="K149" s="84"/>
      <c r="L149" s="82"/>
    </row>
    <row r="150" spans="1:12" ht="32.25" x14ac:dyDescent="0.3">
      <c r="A150" s="24"/>
      <c r="B150" s="24"/>
      <c r="C150" s="24"/>
      <c r="D150" s="40" t="s">
        <v>174</v>
      </c>
      <c r="E150" s="13"/>
      <c r="F150" s="13">
        <f>90</f>
        <v>90</v>
      </c>
      <c r="G150" s="13" t="s">
        <v>136</v>
      </c>
      <c r="H150" s="33">
        <f>4125/F150</f>
        <v>45.833333333333336</v>
      </c>
      <c r="I150" s="55">
        <f t="shared" ref="I150:I151" si="7">F150*H150</f>
        <v>4125</v>
      </c>
      <c r="J150" s="13" t="s">
        <v>121</v>
      </c>
      <c r="K150" s="84"/>
      <c r="L150" s="82"/>
    </row>
    <row r="151" spans="1:12" ht="32.25" x14ac:dyDescent="0.3">
      <c r="A151" s="24"/>
      <c r="B151" s="24"/>
      <c r="C151" s="24"/>
      <c r="D151" s="40" t="s">
        <v>175</v>
      </c>
      <c r="E151" s="13"/>
      <c r="F151" s="13">
        <f>10+600</f>
        <v>610</v>
      </c>
      <c r="G151" s="13" t="s">
        <v>136</v>
      </c>
      <c r="H151" s="33">
        <f>(458+27498)/F151</f>
        <v>45.829508196721314</v>
      </c>
      <c r="I151" s="55">
        <f t="shared" si="7"/>
        <v>27956</v>
      </c>
      <c r="J151" s="13" t="s">
        <v>121</v>
      </c>
      <c r="K151" s="84"/>
      <c r="L151" s="82"/>
    </row>
    <row r="152" spans="1:12" ht="63" x14ac:dyDescent="0.3">
      <c r="A152" s="24"/>
      <c r="B152" s="24"/>
      <c r="C152" s="24"/>
      <c r="D152" s="40" t="s">
        <v>179</v>
      </c>
      <c r="E152" s="13"/>
      <c r="F152" s="13">
        <f>20.5</f>
        <v>20.5</v>
      </c>
      <c r="G152" s="38" t="s">
        <v>165</v>
      </c>
      <c r="H152" s="33">
        <f>12901.4/F152</f>
        <v>629.33658536585369</v>
      </c>
      <c r="I152" s="57">
        <f t="shared" ref="I152:I158" si="8">F152*H152</f>
        <v>12901.400000000001</v>
      </c>
      <c r="J152" s="13" t="s">
        <v>120</v>
      </c>
      <c r="K152" s="84"/>
      <c r="L152" s="82"/>
    </row>
    <row r="153" spans="1:12" ht="32.25" x14ac:dyDescent="0.3">
      <c r="A153" s="24"/>
      <c r="B153" s="24"/>
      <c r="C153" s="24"/>
      <c r="D153" s="40" t="s">
        <v>229</v>
      </c>
      <c r="E153" s="13"/>
      <c r="F153" s="13">
        <f>1.62</f>
        <v>1.62</v>
      </c>
      <c r="G153" s="13" t="s">
        <v>113</v>
      </c>
      <c r="H153" s="33">
        <f>(920.8)/F153</f>
        <v>568.39506172839504</v>
      </c>
      <c r="I153" s="66">
        <f>F153*H153</f>
        <v>920.80000000000007</v>
      </c>
      <c r="J153" s="13" t="s">
        <v>120</v>
      </c>
      <c r="K153" s="84"/>
      <c r="L153" s="82"/>
    </row>
    <row r="154" spans="1:12" ht="48" x14ac:dyDescent="0.3">
      <c r="A154" s="24"/>
      <c r="B154" s="24"/>
      <c r="C154" s="24"/>
      <c r="D154" s="40" t="s">
        <v>230</v>
      </c>
      <c r="E154" s="13"/>
      <c r="F154" s="13">
        <v>1</v>
      </c>
      <c r="G154" s="38" t="s">
        <v>31</v>
      </c>
      <c r="H154" s="13">
        <f>4213.4/F154</f>
        <v>4213.3999999999996</v>
      </c>
      <c r="I154" s="66">
        <f>F154*H154</f>
        <v>4213.3999999999996</v>
      </c>
      <c r="J154" s="13" t="s">
        <v>120</v>
      </c>
      <c r="K154" s="84"/>
      <c r="L154" s="82"/>
    </row>
    <row r="155" spans="1:12" ht="18.75" x14ac:dyDescent="0.3">
      <c r="A155" s="24"/>
      <c r="B155" s="24"/>
      <c r="C155" s="24"/>
      <c r="D155" s="40" t="s">
        <v>195</v>
      </c>
      <c r="E155" s="13"/>
      <c r="F155" s="13">
        <v>2.5</v>
      </c>
      <c r="G155" s="13" t="s">
        <v>196</v>
      </c>
      <c r="H155" s="13">
        <f>10503/F155</f>
        <v>4201.2</v>
      </c>
      <c r="I155" s="57">
        <f t="shared" si="8"/>
        <v>10503</v>
      </c>
      <c r="J155" s="14" t="s">
        <v>120</v>
      </c>
      <c r="K155" s="84"/>
      <c r="L155" s="82"/>
    </row>
    <row r="156" spans="1:12" ht="48" x14ac:dyDescent="0.3">
      <c r="A156" s="24"/>
      <c r="B156" s="24"/>
      <c r="C156" s="24"/>
      <c r="D156" s="40" t="s">
        <v>197</v>
      </c>
      <c r="E156" s="13"/>
      <c r="F156" s="13">
        <f>1</f>
        <v>1</v>
      </c>
      <c r="G156" s="13" t="s">
        <v>31</v>
      </c>
      <c r="H156" s="13">
        <f>11080/F156</f>
        <v>11080</v>
      </c>
      <c r="I156" s="57">
        <f>F156*H156</f>
        <v>11080</v>
      </c>
      <c r="J156" s="14" t="s">
        <v>120</v>
      </c>
      <c r="K156" s="84"/>
      <c r="L156" s="82"/>
    </row>
    <row r="157" spans="1:12" ht="18.75" x14ac:dyDescent="0.3">
      <c r="A157" s="24"/>
      <c r="B157" s="24"/>
      <c r="C157" s="24"/>
      <c r="D157" s="40" t="s">
        <v>198</v>
      </c>
      <c r="E157" s="13"/>
      <c r="F157" s="13">
        <v>1</v>
      </c>
      <c r="G157" s="13" t="s">
        <v>31</v>
      </c>
      <c r="H157" s="13">
        <f>46847/F157</f>
        <v>46847</v>
      </c>
      <c r="I157" s="57">
        <f>F157*H157</f>
        <v>46847</v>
      </c>
      <c r="J157" s="14" t="s">
        <v>120</v>
      </c>
      <c r="K157" s="84"/>
      <c r="L157" s="82"/>
    </row>
    <row r="158" spans="1:12" ht="32.25" x14ac:dyDescent="0.3">
      <c r="A158" s="34" t="s">
        <v>184</v>
      </c>
      <c r="B158" s="14"/>
      <c r="C158" s="14"/>
      <c r="D158" s="40" t="s">
        <v>185</v>
      </c>
      <c r="E158" s="13"/>
      <c r="F158" s="13">
        <v>1</v>
      </c>
      <c r="G158" s="13" t="s">
        <v>31</v>
      </c>
      <c r="H158" s="13">
        <f>230000/F158</f>
        <v>230000</v>
      </c>
      <c r="I158" s="57">
        <f t="shared" si="8"/>
        <v>230000</v>
      </c>
      <c r="J158" s="14" t="s">
        <v>120</v>
      </c>
      <c r="K158" s="84"/>
      <c r="L158" s="82"/>
    </row>
    <row r="159" spans="1:12" ht="48" x14ac:dyDescent="0.3">
      <c r="A159" s="34"/>
      <c r="B159" s="14"/>
      <c r="C159" s="14"/>
      <c r="D159" s="40" t="s">
        <v>216</v>
      </c>
      <c r="E159" s="13"/>
      <c r="F159" s="13">
        <f>38.4</f>
        <v>38.4</v>
      </c>
      <c r="G159" s="13" t="s">
        <v>113</v>
      </c>
      <c r="H159" s="33">
        <f>29743/F159</f>
        <v>774.55729166666674</v>
      </c>
      <c r="I159" s="57">
        <f>F159*H159</f>
        <v>29743</v>
      </c>
      <c r="J159" s="14" t="s">
        <v>120</v>
      </c>
      <c r="K159" s="84"/>
      <c r="L159" s="82"/>
    </row>
    <row r="160" spans="1:12" ht="63.75" x14ac:dyDescent="0.3">
      <c r="A160" s="34"/>
      <c r="B160" s="14"/>
      <c r="C160" s="14"/>
      <c r="D160" s="15" t="s">
        <v>217</v>
      </c>
      <c r="E160" s="41"/>
      <c r="F160" s="41">
        <f>34.98+1.105</f>
        <v>36.084999999999994</v>
      </c>
      <c r="G160" s="13" t="s">
        <v>113</v>
      </c>
      <c r="H160" s="46">
        <f>(7315.6+231.4)/F160</f>
        <v>209.14507413052519</v>
      </c>
      <c r="I160" s="54">
        <f>F160*H160</f>
        <v>7547</v>
      </c>
      <c r="J160" s="14"/>
      <c r="K160" s="84"/>
      <c r="L160" s="82"/>
    </row>
    <row r="161" spans="1:12" ht="18.75" x14ac:dyDescent="0.3">
      <c r="A161" s="34"/>
      <c r="B161" s="14"/>
      <c r="C161" s="14"/>
      <c r="D161" s="40"/>
      <c r="E161" s="13"/>
      <c r="F161" s="13"/>
      <c r="G161" s="13"/>
      <c r="H161" s="13"/>
      <c r="I161" s="55">
        <f>SUM(I148:I159)</f>
        <v>378289.6</v>
      </c>
      <c r="J161" s="14"/>
      <c r="K161" s="84"/>
      <c r="L161" s="82"/>
    </row>
    <row r="162" spans="1:12" ht="15.75" x14ac:dyDescent="0.25">
      <c r="A162" s="60" t="s">
        <v>182</v>
      </c>
      <c r="B162" s="14"/>
      <c r="C162" s="14"/>
      <c r="D162" s="43"/>
      <c r="E162" s="14"/>
      <c r="F162" s="14"/>
      <c r="G162" s="38"/>
      <c r="H162" s="14"/>
      <c r="I162" s="61">
        <f>I11+I19+I20+I21+I22+I25+I28+I31+I32+I33+I43+I44+I45+I46+I47+I48+I49+I50+I51+I53+I55+I56+I58+I59+I60+I61+I62+I63+I65+I67+I68+I71+I72+I76+I77+I82+I85+I86+I87+I88+I89+I90+I97+I98+I99+I101+I107+I112+I120+I123+I124+I125+I126+I127+I150+I151+I152+I153+I154+I155+I156+I157+I158+I159+I160</f>
        <v>2257173.5999999996</v>
      </c>
      <c r="J162" s="14"/>
      <c r="K162" s="84"/>
      <c r="L162" s="82"/>
    </row>
    <row r="163" spans="1:12" ht="15.75" x14ac:dyDescent="0.25">
      <c r="A163" s="53" t="s">
        <v>173</v>
      </c>
      <c r="B163" s="25"/>
      <c r="C163" s="25"/>
      <c r="D163" s="43"/>
      <c r="E163" s="13"/>
      <c r="F163" s="13"/>
      <c r="G163" s="38"/>
      <c r="H163" s="13"/>
      <c r="I163" s="62">
        <f>I15+I40+I73+I93+I103+I109+I116+I133+I137+I143+I161</f>
        <v>2796797.0000000005</v>
      </c>
      <c r="J163" s="14"/>
      <c r="K163" s="82"/>
      <c r="L163" s="82"/>
    </row>
    <row r="164" spans="1:12" ht="99.75" customHeight="1" x14ac:dyDescent="0.25">
      <c r="A164" s="69" t="s">
        <v>105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82"/>
      <c r="L164" s="82"/>
    </row>
    <row r="165" spans="1:12" ht="15.75" x14ac:dyDescent="0.25">
      <c r="A165" s="2"/>
      <c r="B165" s="2"/>
      <c r="C165" s="2"/>
      <c r="D165" s="16"/>
      <c r="E165" s="16"/>
      <c r="F165" s="82"/>
      <c r="G165" s="82"/>
      <c r="H165" s="82"/>
      <c r="I165" s="82"/>
      <c r="J165" s="2"/>
      <c r="K165" s="82"/>
      <c r="L165" s="82"/>
    </row>
    <row r="166" spans="1:12" ht="15.75" x14ac:dyDescent="0.25">
      <c r="A166" s="2"/>
      <c r="B166" s="2"/>
      <c r="C166" s="2"/>
      <c r="D166" s="16"/>
      <c r="E166" s="16"/>
      <c r="F166" s="82"/>
      <c r="G166" s="82"/>
      <c r="H166" s="82"/>
      <c r="I166" s="82"/>
      <c r="J166" s="59"/>
      <c r="K166" s="82"/>
      <c r="L166" s="82"/>
    </row>
    <row r="167" spans="1:12" ht="15.75" x14ac:dyDescent="0.25">
      <c r="A167" s="2"/>
      <c r="B167" s="2"/>
      <c r="C167" s="2"/>
      <c r="D167" s="16"/>
      <c r="E167" s="16"/>
      <c r="F167" s="82"/>
      <c r="G167" s="82"/>
      <c r="H167" s="82"/>
      <c r="I167" s="82"/>
      <c r="J167" s="2"/>
      <c r="K167" s="82"/>
      <c r="L167" s="82"/>
    </row>
    <row r="168" spans="1:12" ht="15.75" x14ac:dyDescent="0.25">
      <c r="A168" s="2"/>
      <c r="B168" s="2"/>
      <c r="C168" s="2"/>
      <c r="D168" s="16"/>
      <c r="E168" s="16"/>
      <c r="F168" s="82"/>
      <c r="G168" s="83"/>
      <c r="H168" s="82"/>
      <c r="I168" s="83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82"/>
      <c r="G169" s="83"/>
      <c r="H169" s="82"/>
      <c r="I169" s="8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82"/>
      <c r="G170" s="82"/>
      <c r="H170" s="82"/>
      <c r="I170" s="8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</sheetData>
  <mergeCells count="16">
    <mergeCell ref="A164:J164"/>
    <mergeCell ref="A2:J2"/>
    <mergeCell ref="A147:G147"/>
    <mergeCell ref="H147:J147"/>
    <mergeCell ref="I1:J1"/>
    <mergeCell ref="A104:G104"/>
    <mergeCell ref="A117:G117"/>
    <mergeCell ref="A144:G144"/>
    <mergeCell ref="A41:G41"/>
    <mergeCell ref="A16:G16"/>
    <mergeCell ref="A4:G4"/>
    <mergeCell ref="A134:G134"/>
    <mergeCell ref="A74:G74"/>
    <mergeCell ref="A94:G94"/>
    <mergeCell ref="A110:G110"/>
    <mergeCell ref="A138:G138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2025-01-28T11:58:23Z</cp:lastPrinted>
  <dcterms:created xsi:type="dcterms:W3CDTF">2017-05-29T12:14:13Z</dcterms:created>
  <dcterms:modified xsi:type="dcterms:W3CDTF">2025-03-13T13:59:48Z</dcterms:modified>
</cp:coreProperties>
</file>