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4" i="1" l="1"/>
  <c r="F70" i="1" l="1"/>
  <c r="H70" i="1" s="1"/>
  <c r="F89" i="1"/>
  <c r="H89" i="1" s="1"/>
  <c r="F136" i="1"/>
  <c r="H136" i="1" s="1"/>
  <c r="H7" i="1"/>
  <c r="F77" i="1"/>
  <c r="H77" i="1" s="1"/>
  <c r="H76" i="1"/>
  <c r="I76" i="1" s="1"/>
  <c r="F73" i="1"/>
  <c r="H73" i="1" s="1"/>
  <c r="F81" i="1"/>
  <c r="H81" i="1" s="1"/>
  <c r="H78" i="1"/>
  <c r="F118" i="1"/>
  <c r="H118" i="1" s="1"/>
  <c r="F115" i="1"/>
  <c r="H115" i="1" s="1"/>
  <c r="F72" i="1"/>
  <c r="H72" i="1" s="1"/>
  <c r="F102" i="1"/>
  <c r="H102" i="1" s="1"/>
  <c r="H59" i="1"/>
  <c r="I70" i="1" l="1"/>
  <c r="I89" i="1"/>
  <c r="I77" i="1"/>
  <c r="H116" i="1"/>
  <c r="F116" i="1"/>
  <c r="F106" i="1"/>
  <c r="H106" i="1" s="1"/>
  <c r="F62" i="1"/>
  <c r="H62" i="1" s="1"/>
  <c r="H63" i="1"/>
  <c r="I63" i="1" s="1"/>
  <c r="F74" i="1" l="1"/>
  <c r="H74" i="1" s="1"/>
  <c r="F75" i="1"/>
  <c r="H75" i="1" s="1"/>
  <c r="F117" i="1"/>
  <c r="H117" i="1" s="1"/>
  <c r="F58" i="1"/>
  <c r="H58" i="1" s="1"/>
  <c r="F45" i="1" l="1"/>
  <c r="H45" i="1" s="1"/>
  <c r="F84" i="1" l="1"/>
  <c r="H84" i="1" s="1"/>
  <c r="F82" i="1"/>
  <c r="F104" i="1"/>
  <c r="H104" i="1" s="1"/>
  <c r="H82" i="1" l="1"/>
  <c r="I82" i="1" s="1"/>
  <c r="F98" i="1"/>
  <c r="H98" i="1" s="1"/>
  <c r="F93" i="1"/>
  <c r="F80" i="1"/>
  <c r="H80" i="1" s="1"/>
  <c r="F65" i="1"/>
  <c r="H65" i="1" s="1"/>
  <c r="I62" i="1"/>
  <c r="F128" i="1"/>
  <c r="H128" i="1" s="1"/>
  <c r="I128" i="1" s="1"/>
  <c r="F92" i="1"/>
  <c r="H92" i="1" s="1"/>
  <c r="F91" i="1"/>
  <c r="H91" i="1" s="1"/>
  <c r="F90" i="1"/>
  <c r="I91" i="1" l="1"/>
  <c r="H90" i="1"/>
  <c r="I90" i="1" s="1"/>
  <c r="I65" i="1"/>
  <c r="H93" i="1"/>
  <c r="I93" i="1" s="1"/>
  <c r="I92" i="1"/>
  <c r="F94" i="1"/>
  <c r="F39" i="1"/>
  <c r="H39" i="1" s="1"/>
  <c r="F130" i="1"/>
  <c r="H130" i="1" s="1"/>
  <c r="F21" i="1"/>
  <c r="F137" i="1"/>
  <c r="H137" i="1" s="1"/>
  <c r="F31" i="1"/>
  <c r="H31" i="1" s="1"/>
  <c r="I31" i="1" s="1"/>
  <c r="F32" i="1"/>
  <c r="H32" i="1" s="1"/>
  <c r="F30" i="1"/>
  <c r="H30" i="1" s="1"/>
  <c r="F29" i="1"/>
  <c r="H29" i="1" s="1"/>
  <c r="F28" i="1"/>
  <c r="I98" i="1"/>
  <c r="F97" i="1"/>
  <c r="H97" i="1" s="1"/>
  <c r="F95" i="1"/>
  <c r="F85" i="1"/>
  <c r="H85" i="1" s="1"/>
  <c r="F79" i="1"/>
  <c r="H79" i="1" s="1"/>
  <c r="I30" i="1" l="1"/>
  <c r="H95" i="1"/>
  <c r="I95" i="1" s="1"/>
  <c r="H94" i="1"/>
  <c r="I94" i="1" s="1"/>
  <c r="H28" i="1"/>
  <c r="I28" i="1" s="1"/>
  <c r="I29" i="1"/>
  <c r="H21" i="1"/>
  <c r="I21" i="1" s="1"/>
  <c r="I130" i="1"/>
  <c r="I32" i="1"/>
  <c r="H48" i="1"/>
  <c r="I48" i="1" s="1"/>
  <c r="F47" i="1"/>
  <c r="H47" i="1" s="1"/>
  <c r="F27" i="1"/>
  <c r="H27" i="1" s="1"/>
  <c r="H20" i="1"/>
  <c r="I20" i="1" s="1"/>
  <c r="F138" i="1"/>
  <c r="H138" i="1" s="1"/>
  <c r="H139" i="1"/>
  <c r="H142" i="1"/>
  <c r="I141" i="1"/>
  <c r="H140" i="1"/>
  <c r="I80" i="1"/>
  <c r="I84" i="1"/>
  <c r="F134" i="1"/>
  <c r="H134" i="1" s="1"/>
  <c r="F135" i="1"/>
  <c r="H135" i="1" s="1"/>
  <c r="F6" i="1"/>
  <c r="H6" i="1" s="1"/>
  <c r="I97" i="1"/>
  <c r="I47" i="1" l="1"/>
  <c r="I27" i="1"/>
  <c r="I72" i="1"/>
  <c r="I74" i="1"/>
  <c r="I75" i="1"/>
  <c r="I73" i="1"/>
  <c r="I142" i="1" l="1"/>
  <c r="I45" i="1"/>
  <c r="I100" i="1" l="1"/>
  <c r="I39" i="1" l="1"/>
  <c r="I137" i="1"/>
  <c r="I117" i="1"/>
  <c r="F114" i="1"/>
  <c r="H114" i="1" s="1"/>
  <c r="I81" i="1"/>
  <c r="I114" i="1" l="1"/>
  <c r="F61" i="1"/>
  <c r="H61" i="1" s="1"/>
  <c r="F60" i="1"/>
  <c r="H60" i="1" s="1"/>
  <c r="I42" i="1"/>
  <c r="I60" i="1" l="1"/>
  <c r="I61" i="1"/>
  <c r="I139" i="1"/>
  <c r="I7" i="1"/>
  <c r="F8" i="1"/>
  <c r="I138" i="1"/>
  <c r="I85" i="1"/>
  <c r="I79" i="1"/>
  <c r="I78" i="1"/>
  <c r="I87" i="1" l="1"/>
  <c r="I140" i="1" l="1"/>
  <c r="I136" i="1" l="1"/>
  <c r="I134" i="1"/>
  <c r="I135" i="1" l="1"/>
  <c r="I143" i="1" s="1"/>
  <c r="I6" i="1" l="1"/>
  <c r="I56" i="1"/>
  <c r="I104" i="1"/>
  <c r="I102" i="1"/>
  <c r="I58" i="1"/>
  <c r="I16" i="1" l="1"/>
  <c r="I123" i="1"/>
  <c r="I115" i="1" l="1"/>
  <c r="I118" i="1" l="1"/>
  <c r="I106" i="1"/>
  <c r="I109" i="1" s="1"/>
  <c r="I59" i="1" l="1"/>
  <c r="I68" i="1" s="1"/>
  <c r="I116" i="1" l="1"/>
  <c r="I119" i="1" s="1"/>
  <c r="I145" i="1" l="1"/>
</calcChain>
</file>

<file path=xl/sharedStrings.xml><?xml version="1.0" encoding="utf-8"?>
<sst xmlns="http://schemas.openxmlformats.org/spreadsheetml/2006/main" count="588" uniqueCount="216">
  <si>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</si>
  <si>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</si>
  <si>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</si>
  <si>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</si>
  <si>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</si>
  <si>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</si>
  <si>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</si>
  <si>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</si>
  <si>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</si>
  <si>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</si>
  <si>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</si>
  <si>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</si>
  <si>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</si>
  <si>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</si>
  <si>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</si>
  <si>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</si>
  <si>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</si>
  <si>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</si>
  <si>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</si>
  <si>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</si>
  <si>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</si>
  <si>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</si>
  <si>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</si>
  <si>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</si>
  <si>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</si>
  <si>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</si>
  <si>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</si>
  <si>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</si>
  <si>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</si>
  <si>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</si>
  <si>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</si>
  <si>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</si>
  <si>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</si>
  <si>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</si>
  <si>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</si>
  <si>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</si>
  <si>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</si>
  <si>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</si>
  <si>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</si>
  <si>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</si>
  <si>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</si>
  <si>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</si>
  <si>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</si>
  <si>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</si>
  <si>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</si>
  <si>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</si>
  <si>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</si>
  <si>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</si>
  <si>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</si>
  <si>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</si>
  <si>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</si>
  <si>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</si>
  <si>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</si>
  <si>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</si>
  <si>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</si>
  <si>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</si>
  <si>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</si>
  <si>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</si>
  <si>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</si>
  <si>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</si>
  <si>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</si>
  <si>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</si>
  <si>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</si>
  <si>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</si>
  <si>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</si>
  <si>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</si>
  <si>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</si>
  <si>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</si>
  <si>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</si>
  <si>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</si>
  <si>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</si>
  <si>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</si>
  <si>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</si>
  <si>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</si>
  <si>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</si>
  <si>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</si>
  <si>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</si>
  <si>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</si>
  <si>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</si>
  <si>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</si>
  <si>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</si>
  <si>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</si>
  <si>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</si>
  <si>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</si>
  <si>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</si>
  <si>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</si>
  <si>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</si>
  <si>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</si>
  <si>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</si>
  <si>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</si>
  <si>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</si>
  <si>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</si>
  <si>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</si>
  <si>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</si>
  <si>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</si>
  <si>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</si>
  <si>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</si>
  <si>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</si>
  <si>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</si>
  <si>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</si>
  <si>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</si>
  <si>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</si>
  <si>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</si>
  <si>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</si>
  <si>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</si>
  <si>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</si>
  <si>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</si>
  <si>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</si>
  <si>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</si>
  <si>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</si>
  <si>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</si>
  <si>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</si>
  <si>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</si>
  <si>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</si>
  <si>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</si>
  <si>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</si>
  <si>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</si>
  <si>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Смена замков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</si>
  <si>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</si>
  <si>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4 квартал</t>
  </si>
  <si>
    <t>смена трубопроводов из полиэтиленовых труб диам. 100мм</t>
  </si>
  <si>
    <t>2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</si>
  <si>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</si>
  <si>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</si>
  <si>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</si>
  <si>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</si>
  <si>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</si>
  <si>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</si>
  <si>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</si>
  <si>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</si>
  <si>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</si>
  <si>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</si>
  <si>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</si>
  <si>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</si>
  <si>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</si>
  <si>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</si>
  <si>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</si>
  <si>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контроль исправности оборудования и ремонт силового предохранительного шкафа</t>
  </si>
  <si>
    <t>услуга</t>
  </si>
  <si>
    <t>установка решеток на приямки</t>
  </si>
  <si>
    <t>кг</t>
  </si>
  <si>
    <t>благоустройство</t>
  </si>
  <si>
    <t>ремонт групповых щитков на лестничной клетке со сменой автоматов</t>
  </si>
  <si>
    <t>установка насосов</t>
  </si>
  <si>
    <t>сгон</t>
  </si>
  <si>
    <t>1 врезка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</si>
  <si>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</si>
  <si>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</si>
  <si>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установка хомутов диаметром трубопроводов до 100мм</t>
  </si>
  <si>
    <t>прочистка фильтров диам. 80мм</t>
  </si>
  <si>
    <t>ремонт приемного клапана мусоропровода</t>
  </si>
  <si>
    <t>МОП</t>
  </si>
  <si>
    <t>смена вентилей и клапанов обратных муфтовых диам. до 20мм</t>
  </si>
  <si>
    <t>усиление сварных швов наплавкой</t>
  </si>
  <si>
    <t>1м шва</t>
  </si>
  <si>
    <t>ремонт штукатурки гладких фасадов по камню и бетону</t>
  </si>
  <si>
    <t>смена сгонов у трубопроводов диам. 32мм</t>
  </si>
  <si>
    <t>врезка в действующие сети трубопроводов отопления и водоснабжения диам. 20мм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</si>
  <si>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</si>
  <si>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</si>
  <si>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</si>
  <si>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смена ламп накаливания</t>
  </si>
  <si>
    <t>водоотлив из подвала электрическими нососами</t>
  </si>
  <si>
    <t>водоотлив из подвала ведрами</t>
  </si>
  <si>
    <t>ремонт и окраска дверей (восстановление фурнитуры и остекления) петли</t>
  </si>
  <si>
    <t>смена сгонов у трубопроводов диам. 20мм</t>
  </si>
  <si>
    <t>врезка в действующие сети трубопроводов отопления и водоснабжения диам. 25мм</t>
  </si>
  <si>
    <t>ремонт межпанельных швов без вскрытия</t>
  </si>
  <si>
    <t>ремонт межпанельных швов со вскрытием и заменй утеплителя</t>
  </si>
  <si>
    <t>ремонт мягкого покрытия кровли в 1 слой</t>
  </si>
  <si>
    <t>заделок поручня</t>
  </si>
  <si>
    <t>Всего</t>
  </si>
  <si>
    <t>1,4 квартал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</si>
  <si>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</si>
  <si>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</si>
  <si>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>проверка на прогрев отопительных приборов с регулировкой</t>
  </si>
  <si>
    <t>чистка крыши  от снега</t>
  </si>
  <si>
    <t>1 квартал</t>
  </si>
  <si>
    <t>прокладка внутренних трубопроводов водоснабжения и отопления из полипропиленовых труб:диам. 25мм</t>
  </si>
  <si>
    <t>прокладка внутренних трубопроводов водоснабжения и отопления из полипропиленовых труб:диам. 20мм</t>
  </si>
  <si>
    <t>1,2,3,4 квартал</t>
  </si>
  <si>
    <t>окраска масляными составами ранее окрашенных металлических решеток и оград без рельефа за 1 раз</t>
  </si>
  <si>
    <t>3 квартал</t>
  </si>
  <si>
    <t>3квартал</t>
  </si>
  <si>
    <t>ремонт и восстановление уплотнения стыков прокладками ПРП в 1 ряд насухо</t>
  </si>
  <si>
    <t>4 квартад</t>
  </si>
  <si>
    <t>установка номерных табличек:с номерами подъезда и квартир</t>
  </si>
  <si>
    <t xml:space="preserve">
Отчет о выполнении работ по текущему ремонту общего имущества 
в многоквартирном доме по адресу: г.Щёлково, Гостиный переулок, дом 6  на 2024 г.
</t>
  </si>
  <si>
    <t xml:space="preserve"> смена кранов на шаровые краны диам.15 мм</t>
  </si>
  <si>
    <t>изготовление копии технического паспорта кв 1-40</t>
  </si>
  <si>
    <t>изготовление копии технического паспорта кв4 1-80</t>
  </si>
  <si>
    <t>ремонт металлических ограждений средний</t>
  </si>
  <si>
    <t>закрашивание надписей</t>
  </si>
  <si>
    <t>улучшенная масляная окраска ранее окрашенных фасадов с расчитской старой краски до 10%(пандус)</t>
  </si>
  <si>
    <t>смена стекол толщиной 4-6мм в деревянных переплетах на штапиках по замазке при площади стекод до 0,25м2</t>
  </si>
  <si>
    <t>смена стекол толщиной 4-6мм в деревянных переплетах на штапиках по замазке при площади стекод до 1,00м2</t>
  </si>
  <si>
    <t>установка фильтров диам 25мм</t>
  </si>
  <si>
    <t>смена внутренних трубопроводов из стальных труб диам. 25мм</t>
  </si>
  <si>
    <t>установка фильтров диам.25мм</t>
  </si>
  <si>
    <t>ремонт асфальтобетонного покрытия пандуса</t>
  </si>
  <si>
    <t>огрунтовка ранее окрашенныъ фасадов под окраску</t>
  </si>
  <si>
    <t>шпатлевка ранее окрашенных фасадов под окраску</t>
  </si>
  <si>
    <t>окраска красками по подготовленной поверхности</t>
  </si>
  <si>
    <t>ремонт мест просадок бетоном</t>
  </si>
  <si>
    <t>простая масляная окраска ранее окрашенных фасадов без подготовки</t>
  </si>
  <si>
    <t>окраска масляными составами ранее окрашенных больших металлических поверхностей(кроме крыш) за один раз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</si>
  <si>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диам.20мм</t>
  </si>
  <si>
    <t xml:space="preserve"> смена кранов на шаровые краны диам.15,20 мм</t>
  </si>
  <si>
    <t>ремонт групповых шитков со сменой автоматов</t>
  </si>
  <si>
    <t xml:space="preserve"> 2 квартал</t>
  </si>
  <si>
    <t>смена патронов</t>
  </si>
  <si>
    <t>слив и наполнение водой системы отопления без осмотра</t>
  </si>
  <si>
    <t>смена внутренних трубопроводов из стальных труб диам. 20мм</t>
  </si>
  <si>
    <t>м</t>
  </si>
  <si>
    <t>выполнение работ по очистке кровли от снега и наледи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</si>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</sst>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9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9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2"/>
  <sheetViews>
    <sheetView tabSelected="1" topLeftCell="D1" zoomScale="91" zoomScaleNormal="91" workbookViewId="0">
      <selection activeCell="F148" sqref="F148:I15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0" t="s">
        <v>97</v>
      </c>
      <c r="J1" s="70"/>
    </row>
    <row r="2" spans="1:12" ht="70.5" customHeight="1" x14ac:dyDescent="0.25">
      <c r="A2" s="65" t="s">
        <v>187</v>
      </c>
      <c r="B2" s="66"/>
      <c r="C2" s="66"/>
      <c r="D2" s="66"/>
      <c r="E2" s="66"/>
      <c r="F2" s="66"/>
      <c r="G2" s="66"/>
      <c r="H2" s="66"/>
      <c r="I2" s="66"/>
      <c r="J2" s="66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71" t="s">
        <v>88</v>
      </c>
      <c r="B4" s="72"/>
      <c r="C4" s="72"/>
      <c r="D4" s="72"/>
      <c r="E4" s="72"/>
      <c r="F4" s="72"/>
      <c r="G4" s="73"/>
      <c r="H4" s="10"/>
      <c r="I4" s="10"/>
      <c r="J4" s="11"/>
      <c r="K4" s="2"/>
      <c r="L4" s="2"/>
    </row>
    <row r="5" spans="1:12" ht="18.75" x14ac:dyDescent="0.3">
      <c r="A5" s="6" t="s">
        <v>0</v>
      </c>
      <c r="B5" s="5"/>
      <c r="C5" s="4"/>
      <c r="D5" s="15" t="s">
        <v>169</v>
      </c>
      <c r="E5" s="40"/>
      <c r="F5" s="40"/>
      <c r="G5" s="13" t="s">
        <v>114</v>
      </c>
      <c r="H5" s="40"/>
      <c r="I5" s="43"/>
      <c r="J5" s="13"/>
      <c r="K5" s="2"/>
      <c r="L5" s="2"/>
    </row>
    <row r="6" spans="1:12" ht="18.75" x14ac:dyDescent="0.3">
      <c r="A6" s="6"/>
      <c r="B6" s="5"/>
      <c r="C6" s="4"/>
      <c r="D6" s="15" t="s">
        <v>176</v>
      </c>
      <c r="E6" s="40"/>
      <c r="F6" s="40">
        <f>920+1840</f>
        <v>2760</v>
      </c>
      <c r="G6" s="13" t="s">
        <v>114</v>
      </c>
      <c r="H6" s="40">
        <f>(36800+73600)/F6</f>
        <v>40</v>
      </c>
      <c r="I6" s="53">
        <f>F6*H6</f>
        <v>110400</v>
      </c>
      <c r="J6" s="13" t="s">
        <v>177</v>
      </c>
      <c r="K6" s="2"/>
      <c r="L6" s="2"/>
    </row>
    <row r="7" spans="1:12" ht="32.25" x14ac:dyDescent="0.3">
      <c r="A7" s="6"/>
      <c r="B7" s="5"/>
      <c r="C7" s="4"/>
      <c r="D7" s="15" t="s">
        <v>214</v>
      </c>
      <c r="E7" s="40"/>
      <c r="F7" s="40">
        <v>920</v>
      </c>
      <c r="G7" s="13" t="s">
        <v>114</v>
      </c>
      <c r="H7" s="40">
        <f>46000/F7</f>
        <v>50</v>
      </c>
      <c r="I7" s="53">
        <f>F7*H7</f>
        <v>46000</v>
      </c>
      <c r="J7" s="13" t="s">
        <v>121</v>
      </c>
      <c r="K7" s="2"/>
      <c r="L7" s="2"/>
    </row>
    <row r="8" spans="1:12" ht="35.25" customHeight="1" x14ac:dyDescent="0.3">
      <c r="A8" s="6" t="s">
        <v>1</v>
      </c>
      <c r="B8" s="5"/>
      <c r="C8" s="4"/>
      <c r="D8" s="15" t="s">
        <v>146</v>
      </c>
      <c r="E8" s="40" t="s">
        <v>136</v>
      </c>
      <c r="F8" s="40">
        <f>200</f>
        <v>200</v>
      </c>
      <c r="G8" s="13" t="s">
        <v>114</v>
      </c>
      <c r="H8" s="40" t="s">
        <v>136</v>
      </c>
      <c r="I8" s="40" t="s">
        <v>136</v>
      </c>
      <c r="J8" s="13"/>
      <c r="K8" s="2"/>
      <c r="L8" s="2"/>
    </row>
    <row r="9" spans="1:12" ht="28.5" customHeight="1" x14ac:dyDescent="0.3">
      <c r="A9" s="6" t="s">
        <v>2</v>
      </c>
      <c r="B9" s="5"/>
      <c r="C9" s="4"/>
      <c r="D9" s="15" t="s">
        <v>38</v>
      </c>
      <c r="E9" s="40" t="s">
        <v>136</v>
      </c>
      <c r="F9" s="40" t="s">
        <v>136</v>
      </c>
      <c r="G9" s="13" t="s">
        <v>30</v>
      </c>
      <c r="H9" s="40" t="s">
        <v>136</v>
      </c>
      <c r="I9" s="40" t="s">
        <v>136</v>
      </c>
      <c r="J9" s="13"/>
      <c r="K9" s="2"/>
      <c r="L9" s="2"/>
    </row>
    <row r="10" spans="1:12" ht="18.75" x14ac:dyDescent="0.3">
      <c r="A10" s="7" t="s">
        <v>3</v>
      </c>
      <c r="B10" s="5"/>
      <c r="C10" s="4"/>
      <c r="D10" s="15" t="s">
        <v>37</v>
      </c>
      <c r="E10" s="40" t="s">
        <v>136</v>
      </c>
      <c r="F10" s="40" t="s">
        <v>136</v>
      </c>
      <c r="G10" s="13" t="s">
        <v>30</v>
      </c>
      <c r="H10" s="40" t="s">
        <v>136</v>
      </c>
      <c r="I10" s="40" t="s">
        <v>136</v>
      </c>
      <c r="J10" s="13"/>
      <c r="K10" s="2"/>
      <c r="L10" s="2"/>
    </row>
    <row r="11" spans="1:12" ht="32.25" x14ac:dyDescent="0.3">
      <c r="A11" s="6" t="s">
        <v>4</v>
      </c>
      <c r="B11" s="5"/>
      <c r="C11" s="4"/>
      <c r="D11" s="15" t="s">
        <v>36</v>
      </c>
      <c r="E11" s="40" t="s">
        <v>136</v>
      </c>
      <c r="F11" s="40" t="s">
        <v>136</v>
      </c>
      <c r="G11" s="13" t="s">
        <v>30</v>
      </c>
      <c r="H11" s="40" t="s">
        <v>136</v>
      </c>
      <c r="I11" s="40" t="s">
        <v>136</v>
      </c>
      <c r="J11" s="13"/>
      <c r="K11" s="2"/>
      <c r="L11" s="2"/>
    </row>
    <row r="12" spans="1:12" ht="18.75" x14ac:dyDescent="0.3">
      <c r="A12" s="6" t="s">
        <v>5</v>
      </c>
      <c r="B12" s="5"/>
      <c r="C12" s="4"/>
      <c r="D12" s="4" t="s">
        <v>87</v>
      </c>
      <c r="E12" s="40" t="s">
        <v>136</v>
      </c>
      <c r="F12" s="40" t="s">
        <v>136</v>
      </c>
      <c r="G12" s="13" t="s">
        <v>31</v>
      </c>
      <c r="H12" s="40" t="s">
        <v>136</v>
      </c>
      <c r="I12" s="40" t="s">
        <v>136</v>
      </c>
      <c r="J12" s="13"/>
      <c r="K12" s="2"/>
      <c r="L12" s="2"/>
    </row>
    <row r="13" spans="1:12" ht="37.5" x14ac:dyDescent="0.3">
      <c r="A13" s="6" t="s">
        <v>6</v>
      </c>
      <c r="B13" s="5"/>
      <c r="C13" s="4"/>
      <c r="D13" s="4" t="s">
        <v>35</v>
      </c>
      <c r="E13" s="40" t="s">
        <v>136</v>
      </c>
      <c r="F13" s="40" t="s">
        <v>136</v>
      </c>
      <c r="G13" s="14" t="s">
        <v>31</v>
      </c>
      <c r="H13" s="40" t="s">
        <v>136</v>
      </c>
      <c r="I13" s="40" t="s">
        <v>136</v>
      </c>
      <c r="J13" s="13"/>
      <c r="K13" s="2"/>
      <c r="L13" s="2"/>
    </row>
    <row r="14" spans="1:12" ht="32.25" x14ac:dyDescent="0.3">
      <c r="A14" s="6" t="s">
        <v>63</v>
      </c>
      <c r="B14" s="5"/>
      <c r="C14" s="4"/>
      <c r="D14" s="15" t="s">
        <v>52</v>
      </c>
      <c r="E14" s="40" t="s">
        <v>136</v>
      </c>
      <c r="F14" s="40" t="s">
        <v>136</v>
      </c>
      <c r="G14" s="13" t="s">
        <v>30</v>
      </c>
      <c r="H14" s="40" t="s">
        <v>136</v>
      </c>
      <c r="I14" s="40" t="s">
        <v>136</v>
      </c>
      <c r="J14" s="13"/>
      <c r="L14" s="2"/>
    </row>
    <row r="15" spans="1:12" ht="27" customHeight="1" x14ac:dyDescent="0.3">
      <c r="A15" s="6" t="s">
        <v>7</v>
      </c>
      <c r="B15" s="5"/>
      <c r="C15" s="4"/>
      <c r="D15" s="15" t="s">
        <v>34</v>
      </c>
      <c r="E15" s="40" t="s">
        <v>136</v>
      </c>
      <c r="F15" s="40" t="s">
        <v>136</v>
      </c>
      <c r="G15" s="13" t="s">
        <v>30</v>
      </c>
      <c r="H15" s="40" t="s">
        <v>136</v>
      </c>
      <c r="I15" s="40" t="s">
        <v>136</v>
      </c>
      <c r="J15" s="13"/>
      <c r="K15" s="2"/>
      <c r="L15" s="2"/>
    </row>
    <row r="16" spans="1:12" ht="27" customHeight="1" x14ac:dyDescent="0.3">
      <c r="A16" s="28"/>
      <c r="B16" s="22"/>
      <c r="C16" s="22"/>
      <c r="D16" s="30"/>
      <c r="E16" s="45"/>
      <c r="F16" s="45"/>
      <c r="G16" s="31"/>
      <c r="H16" s="40"/>
      <c r="I16" s="43">
        <f>SUM(I5:I15)</f>
        <v>156400</v>
      </c>
      <c r="J16" s="13"/>
      <c r="K16" s="2"/>
      <c r="L16" s="2"/>
    </row>
    <row r="17" spans="1:12" ht="18.75" x14ac:dyDescent="0.3">
      <c r="A17" s="71" t="s">
        <v>56</v>
      </c>
      <c r="B17" s="72"/>
      <c r="C17" s="72"/>
      <c r="D17" s="72"/>
      <c r="E17" s="72"/>
      <c r="F17" s="72"/>
      <c r="G17" s="73"/>
      <c r="H17" s="14"/>
      <c r="I17" s="5"/>
      <c r="J17" s="13"/>
      <c r="L17" s="2"/>
    </row>
    <row r="18" spans="1:12" ht="18.75" x14ac:dyDescent="0.3">
      <c r="A18" s="6" t="s">
        <v>19</v>
      </c>
      <c r="B18" s="5"/>
      <c r="C18" s="4"/>
      <c r="D18" s="4" t="s">
        <v>96</v>
      </c>
      <c r="E18" s="40" t="s">
        <v>136</v>
      </c>
      <c r="F18" s="40" t="s">
        <v>136</v>
      </c>
      <c r="G18" s="14" t="s">
        <v>54</v>
      </c>
      <c r="H18" s="40" t="s">
        <v>136</v>
      </c>
      <c r="I18" s="40" t="s">
        <v>136</v>
      </c>
      <c r="J18" s="13"/>
      <c r="L18" s="2"/>
    </row>
    <row r="19" spans="1:12" ht="18.75" x14ac:dyDescent="0.3">
      <c r="A19" s="6" t="s">
        <v>13</v>
      </c>
      <c r="B19" s="5"/>
      <c r="C19" s="4"/>
      <c r="D19" s="4" t="s">
        <v>41</v>
      </c>
      <c r="E19" s="40" t="s">
        <v>136</v>
      </c>
      <c r="F19" s="40" t="s">
        <v>136</v>
      </c>
      <c r="G19" s="14" t="s">
        <v>53</v>
      </c>
      <c r="H19" s="40" t="s">
        <v>136</v>
      </c>
      <c r="I19" s="40" t="s">
        <v>136</v>
      </c>
      <c r="J19" s="13"/>
      <c r="L19" s="2"/>
    </row>
    <row r="20" spans="1:12" ht="18.75" x14ac:dyDescent="0.3">
      <c r="A20" s="6" t="s">
        <v>9</v>
      </c>
      <c r="B20" s="5"/>
      <c r="C20" s="4"/>
      <c r="D20" s="4" t="s">
        <v>192</v>
      </c>
      <c r="E20" s="40" t="s">
        <v>136</v>
      </c>
      <c r="F20" s="40">
        <v>3</v>
      </c>
      <c r="G20" s="14" t="s">
        <v>53</v>
      </c>
      <c r="H20" s="43">
        <f>499/F20</f>
        <v>166.33333333333334</v>
      </c>
      <c r="I20" s="53">
        <f>F20*H20</f>
        <v>499</v>
      </c>
      <c r="J20" s="13"/>
      <c r="K20" s="2"/>
      <c r="L20" s="2"/>
    </row>
    <row r="21" spans="1:12" ht="32.25" x14ac:dyDescent="0.3">
      <c r="A21" s="6"/>
      <c r="B21" s="5"/>
      <c r="C21" s="4"/>
      <c r="D21" s="15" t="s">
        <v>204</v>
      </c>
      <c r="E21" s="40"/>
      <c r="F21" s="40">
        <f>20</f>
        <v>20</v>
      </c>
      <c r="G21" s="14" t="s">
        <v>114</v>
      </c>
      <c r="H21" s="40">
        <f>3318.2/F21</f>
        <v>165.91</v>
      </c>
      <c r="I21" s="60">
        <f>F21*H21</f>
        <v>3318.2</v>
      </c>
      <c r="J21" s="13" t="s">
        <v>121</v>
      </c>
      <c r="K21" s="2"/>
      <c r="L21" s="2"/>
    </row>
    <row r="22" spans="1:12" ht="18.75" x14ac:dyDescent="0.3">
      <c r="A22" s="6" t="s">
        <v>10</v>
      </c>
      <c r="B22" s="5"/>
      <c r="C22" s="4"/>
      <c r="D22" s="4" t="s">
        <v>33</v>
      </c>
      <c r="E22" s="40" t="s">
        <v>136</v>
      </c>
      <c r="F22" s="40" t="s">
        <v>136</v>
      </c>
      <c r="G22" s="14" t="s">
        <v>53</v>
      </c>
      <c r="H22" s="40" t="s">
        <v>136</v>
      </c>
      <c r="I22" s="60" t="s">
        <v>136</v>
      </c>
      <c r="J22" s="13"/>
      <c r="K22" s="2"/>
      <c r="L22" s="2"/>
    </row>
    <row r="23" spans="1:12" ht="18.75" x14ac:dyDescent="0.3">
      <c r="A23" s="6" t="s">
        <v>11</v>
      </c>
      <c r="B23" s="5"/>
      <c r="C23" s="4"/>
      <c r="D23" s="4" t="s">
        <v>39</v>
      </c>
      <c r="E23" s="40" t="s">
        <v>136</v>
      </c>
      <c r="F23" s="40" t="s">
        <v>136</v>
      </c>
      <c r="G23" s="14" t="s">
        <v>53</v>
      </c>
      <c r="H23" s="40" t="s">
        <v>136</v>
      </c>
      <c r="I23" s="40" t="s">
        <v>136</v>
      </c>
      <c r="J23" s="13"/>
      <c r="K23" s="2"/>
      <c r="L23" s="2"/>
    </row>
    <row r="24" spans="1:12" ht="18.75" x14ac:dyDescent="0.3">
      <c r="A24" s="6"/>
      <c r="B24" s="5"/>
      <c r="C24" s="4"/>
      <c r="D24" s="4" t="s">
        <v>139</v>
      </c>
      <c r="E24" s="40" t="s">
        <v>136</v>
      </c>
      <c r="F24" s="40"/>
      <c r="G24" s="14" t="s">
        <v>140</v>
      </c>
      <c r="H24" s="43"/>
      <c r="I24" s="53"/>
      <c r="J24" s="13"/>
      <c r="K24" s="2"/>
      <c r="L24" s="2"/>
    </row>
    <row r="25" spans="1:12" ht="18.75" x14ac:dyDescent="0.3">
      <c r="A25" s="6" t="s">
        <v>8</v>
      </c>
      <c r="B25" s="5"/>
      <c r="C25" s="4"/>
      <c r="D25" s="4" t="s">
        <v>32</v>
      </c>
      <c r="E25" s="40" t="s">
        <v>136</v>
      </c>
      <c r="F25" s="40" t="s">
        <v>136</v>
      </c>
      <c r="G25" s="13" t="s">
        <v>30</v>
      </c>
      <c r="H25" s="40" t="s">
        <v>136</v>
      </c>
      <c r="I25" s="40" t="s">
        <v>136</v>
      </c>
      <c r="J25" s="13"/>
      <c r="K25" s="2"/>
      <c r="L25" s="2"/>
    </row>
    <row r="26" spans="1:12" ht="24.75" customHeight="1" x14ac:dyDescent="0.3">
      <c r="A26" s="6" t="s">
        <v>12</v>
      </c>
      <c r="B26" s="5"/>
      <c r="C26" s="4"/>
      <c r="D26" s="15" t="s">
        <v>40</v>
      </c>
      <c r="E26" s="40" t="s">
        <v>136</v>
      </c>
      <c r="F26" s="40" t="s">
        <v>136</v>
      </c>
      <c r="G26" s="14" t="s">
        <v>53</v>
      </c>
      <c r="H26" s="40" t="s">
        <v>136</v>
      </c>
      <c r="I26" s="40" t="s">
        <v>136</v>
      </c>
      <c r="J26" s="13"/>
      <c r="K26" s="2"/>
      <c r="L26" s="2"/>
    </row>
    <row r="27" spans="1:12" ht="50.25" customHeight="1" x14ac:dyDescent="0.3">
      <c r="A27" s="6"/>
      <c r="B27" s="5"/>
      <c r="C27" s="4"/>
      <c r="D27" s="15" t="s">
        <v>193</v>
      </c>
      <c r="E27" s="40"/>
      <c r="F27" s="40">
        <f>48.2</f>
        <v>48.2</v>
      </c>
      <c r="G27" s="14" t="s">
        <v>114</v>
      </c>
      <c r="H27" s="43">
        <f>17211.4/F27</f>
        <v>357.08298755186723</v>
      </c>
      <c r="I27" s="53">
        <f>F27*H27</f>
        <v>17211.400000000001</v>
      </c>
      <c r="J27" s="13" t="s">
        <v>121</v>
      </c>
      <c r="K27" s="2"/>
      <c r="L27" s="2"/>
    </row>
    <row r="28" spans="1:12" ht="50.25" customHeight="1" x14ac:dyDescent="0.3">
      <c r="A28" s="6"/>
      <c r="B28" s="5"/>
      <c r="C28" s="4"/>
      <c r="D28" s="15" t="s">
        <v>199</v>
      </c>
      <c r="E28" s="40"/>
      <c r="F28" s="40">
        <f>175</f>
        <v>175</v>
      </c>
      <c r="G28" s="14" t="s">
        <v>114</v>
      </c>
      <c r="H28" s="43">
        <f>238713.2/F28</f>
        <v>1364.0754285714286</v>
      </c>
      <c r="I28" s="53">
        <f>F28*H28</f>
        <v>238713.2</v>
      </c>
      <c r="J28" s="13" t="s">
        <v>121</v>
      </c>
      <c r="K28" s="2"/>
      <c r="L28" s="2"/>
    </row>
    <row r="29" spans="1:12" ht="50.25" customHeight="1" x14ac:dyDescent="0.3">
      <c r="A29" s="6"/>
      <c r="B29" s="5"/>
      <c r="C29" s="4"/>
      <c r="D29" s="15" t="s">
        <v>155</v>
      </c>
      <c r="E29" s="40"/>
      <c r="F29" s="40">
        <f>6.5</f>
        <v>6.5</v>
      </c>
      <c r="G29" s="14" t="s">
        <v>114</v>
      </c>
      <c r="H29" s="43">
        <f>13547.8/F29</f>
        <v>2084.2769230769231</v>
      </c>
      <c r="I29" s="53">
        <f t="shared" ref="I29:I31" si="0">F29*H29</f>
        <v>13547.800000000001</v>
      </c>
      <c r="J29" s="13" t="s">
        <v>121</v>
      </c>
      <c r="K29" s="2"/>
      <c r="L29" s="2"/>
    </row>
    <row r="30" spans="1:12" ht="50.25" customHeight="1" x14ac:dyDescent="0.3">
      <c r="A30" s="6"/>
      <c r="B30" s="5"/>
      <c r="C30" s="4"/>
      <c r="D30" s="15" t="s">
        <v>200</v>
      </c>
      <c r="E30" s="40"/>
      <c r="F30" s="40">
        <f>6.5</f>
        <v>6.5</v>
      </c>
      <c r="G30" s="14" t="s">
        <v>114</v>
      </c>
      <c r="H30" s="43">
        <f>564/F30</f>
        <v>86.769230769230774</v>
      </c>
      <c r="I30" s="53">
        <f t="shared" si="0"/>
        <v>564</v>
      </c>
      <c r="J30" s="13" t="s">
        <v>121</v>
      </c>
      <c r="K30" s="2"/>
      <c r="L30" s="2"/>
    </row>
    <row r="31" spans="1:12" ht="50.25" customHeight="1" x14ac:dyDescent="0.3">
      <c r="A31" s="6"/>
      <c r="B31" s="5"/>
      <c r="C31" s="4"/>
      <c r="D31" s="15" t="s">
        <v>201</v>
      </c>
      <c r="E31" s="40"/>
      <c r="F31" s="40">
        <f>6.5</f>
        <v>6.5</v>
      </c>
      <c r="G31" s="14" t="s">
        <v>114</v>
      </c>
      <c r="H31" s="43">
        <f>2090.2/F31</f>
        <v>321.56923076923073</v>
      </c>
      <c r="I31" s="53">
        <f t="shared" si="0"/>
        <v>2090.1999999999998</v>
      </c>
      <c r="J31" s="13" t="s">
        <v>121</v>
      </c>
      <c r="K31" s="2"/>
      <c r="L31" s="2"/>
    </row>
    <row r="32" spans="1:12" ht="50.25" customHeight="1" x14ac:dyDescent="0.3">
      <c r="A32" s="6"/>
      <c r="B32" s="5"/>
      <c r="C32" s="4"/>
      <c r="D32" s="15" t="s">
        <v>202</v>
      </c>
      <c r="E32" s="40"/>
      <c r="F32" s="40">
        <f>6.5</f>
        <v>6.5</v>
      </c>
      <c r="G32" s="14" t="s">
        <v>114</v>
      </c>
      <c r="H32" s="43">
        <f>1535.6/F32</f>
        <v>236.24615384615385</v>
      </c>
      <c r="I32" s="53">
        <f t="shared" ref="I32" si="1">F32*H32</f>
        <v>1535.6</v>
      </c>
      <c r="J32" s="13" t="s">
        <v>121</v>
      </c>
      <c r="K32" s="2"/>
      <c r="L32" s="2"/>
    </row>
    <row r="33" spans="1:12" ht="18.75" x14ac:dyDescent="0.3">
      <c r="A33" s="6" t="s">
        <v>55</v>
      </c>
      <c r="B33" s="5"/>
      <c r="C33" s="4"/>
      <c r="D33" s="15" t="s">
        <v>167</v>
      </c>
      <c r="E33" s="40"/>
      <c r="F33" s="40"/>
      <c r="G33" s="14" t="s">
        <v>30</v>
      </c>
      <c r="H33" s="40"/>
      <c r="I33" s="40"/>
      <c r="J33" s="13"/>
      <c r="L33" s="2"/>
    </row>
    <row r="34" spans="1:12" ht="32.25" x14ac:dyDescent="0.3">
      <c r="A34" s="6"/>
      <c r="B34" s="5"/>
      <c r="C34" s="4"/>
      <c r="D34" s="15" t="s">
        <v>168</v>
      </c>
      <c r="E34" s="40"/>
      <c r="F34" s="40"/>
      <c r="G34" s="14" t="s">
        <v>30</v>
      </c>
      <c r="H34" s="40"/>
      <c r="I34" s="40"/>
      <c r="J34" s="13"/>
      <c r="L34" s="2"/>
    </row>
    <row r="35" spans="1:12" ht="32.25" x14ac:dyDescent="0.3">
      <c r="A35" s="6" t="s">
        <v>57</v>
      </c>
      <c r="B35" s="5"/>
      <c r="C35" s="4"/>
      <c r="D35" s="15" t="s">
        <v>95</v>
      </c>
      <c r="E35" s="40" t="s">
        <v>136</v>
      </c>
      <c r="F35" s="40" t="s">
        <v>136</v>
      </c>
      <c r="G35" s="14" t="s">
        <v>53</v>
      </c>
      <c r="H35" s="40" t="s">
        <v>136</v>
      </c>
      <c r="I35" s="40" t="s">
        <v>136</v>
      </c>
      <c r="J35" s="13"/>
      <c r="L35" s="2"/>
    </row>
    <row r="36" spans="1:12" ht="32.25" x14ac:dyDescent="0.3">
      <c r="A36" s="6" t="s">
        <v>14</v>
      </c>
      <c r="B36" s="5"/>
      <c r="C36" s="4"/>
      <c r="D36" s="15" t="s">
        <v>94</v>
      </c>
      <c r="E36" s="40" t="s">
        <v>136</v>
      </c>
      <c r="F36" s="40" t="s">
        <v>136</v>
      </c>
      <c r="G36" s="14" t="s">
        <v>54</v>
      </c>
      <c r="H36" s="40" t="s">
        <v>136</v>
      </c>
      <c r="I36" s="40" t="s">
        <v>136</v>
      </c>
      <c r="J36" s="13"/>
      <c r="L36" s="2"/>
    </row>
    <row r="37" spans="1:12" ht="18.75" x14ac:dyDescent="0.3">
      <c r="A37" s="6" t="s">
        <v>15</v>
      </c>
      <c r="B37" s="5"/>
      <c r="C37" s="4"/>
      <c r="D37" s="4" t="s">
        <v>42</v>
      </c>
      <c r="E37" s="40" t="s">
        <v>136</v>
      </c>
      <c r="F37" s="40" t="s">
        <v>136</v>
      </c>
      <c r="G37" s="14" t="s">
        <v>54</v>
      </c>
      <c r="H37" s="40" t="s">
        <v>136</v>
      </c>
      <c r="I37" s="40" t="s">
        <v>136</v>
      </c>
      <c r="J37" s="13"/>
      <c r="L37" s="2"/>
    </row>
    <row r="38" spans="1:12" ht="18.75" x14ac:dyDescent="0.3">
      <c r="A38" s="6" t="s">
        <v>16</v>
      </c>
      <c r="B38" s="5"/>
      <c r="C38" s="4"/>
      <c r="D38" s="4" t="s">
        <v>43</v>
      </c>
      <c r="E38" s="40" t="s">
        <v>136</v>
      </c>
      <c r="F38" s="40" t="s">
        <v>136</v>
      </c>
      <c r="G38" s="14" t="s">
        <v>53</v>
      </c>
      <c r="H38" s="40" t="s">
        <v>136</v>
      </c>
      <c r="I38" s="40" t="s">
        <v>136</v>
      </c>
      <c r="J38" s="13"/>
      <c r="L38" s="2"/>
    </row>
    <row r="39" spans="1:12" ht="48" x14ac:dyDescent="0.3">
      <c r="A39" s="6"/>
      <c r="B39" s="5"/>
      <c r="C39" s="4"/>
      <c r="D39" s="15" t="s">
        <v>205</v>
      </c>
      <c r="E39" s="40"/>
      <c r="F39" s="40">
        <f>0.5</f>
        <v>0.5</v>
      </c>
      <c r="G39" s="14" t="s">
        <v>114</v>
      </c>
      <c r="H39" s="40">
        <f>77/F39</f>
        <v>154</v>
      </c>
      <c r="I39" s="53">
        <f>F39*H39</f>
        <v>77</v>
      </c>
      <c r="J39" s="13" t="s">
        <v>182</v>
      </c>
      <c r="L39" s="2"/>
    </row>
    <row r="40" spans="1:12" ht="18.75" x14ac:dyDescent="0.3">
      <c r="A40" s="6" t="s">
        <v>17</v>
      </c>
      <c r="B40" s="5"/>
      <c r="C40" s="4"/>
      <c r="D40" s="4" t="s">
        <v>44</v>
      </c>
      <c r="E40" s="40" t="s">
        <v>136</v>
      </c>
      <c r="F40" s="40" t="s">
        <v>136</v>
      </c>
      <c r="G40" s="13" t="s">
        <v>30</v>
      </c>
      <c r="H40" s="40" t="s">
        <v>136</v>
      </c>
      <c r="I40" s="40" t="s">
        <v>136</v>
      </c>
      <c r="J40" s="13"/>
      <c r="L40" s="2"/>
    </row>
    <row r="41" spans="1:12" ht="18.75" x14ac:dyDescent="0.3">
      <c r="A41" s="6" t="s">
        <v>18</v>
      </c>
      <c r="B41" s="5"/>
      <c r="C41" s="4"/>
      <c r="D41" s="4" t="s">
        <v>45</v>
      </c>
      <c r="E41" s="40" t="s">
        <v>136</v>
      </c>
      <c r="F41" s="40" t="s">
        <v>136</v>
      </c>
      <c r="G41" s="14" t="s">
        <v>54</v>
      </c>
      <c r="H41" s="40" t="s">
        <v>136</v>
      </c>
      <c r="I41" s="40" t="s">
        <v>136</v>
      </c>
      <c r="J41" s="13"/>
      <c r="L41" s="2"/>
    </row>
    <row r="42" spans="1:12" ht="18.75" x14ac:dyDescent="0.3">
      <c r="A42" s="28"/>
      <c r="B42" s="22"/>
      <c r="C42" s="22"/>
      <c r="D42" s="22"/>
      <c r="E42" s="45"/>
      <c r="F42" s="45"/>
      <c r="G42" s="12"/>
      <c r="H42" s="40"/>
      <c r="I42" s="40">
        <f>SUM(I24:I41)</f>
        <v>273739.2</v>
      </c>
      <c r="J42" s="13"/>
      <c r="L42" s="2"/>
    </row>
    <row r="43" spans="1:12" ht="24" customHeight="1" x14ac:dyDescent="0.3">
      <c r="A43" s="71" t="s">
        <v>86</v>
      </c>
      <c r="B43" s="72"/>
      <c r="C43" s="72"/>
      <c r="D43" s="72"/>
      <c r="E43" s="72"/>
      <c r="F43" s="72"/>
      <c r="G43" s="73"/>
      <c r="H43" s="14"/>
      <c r="I43" s="5"/>
      <c r="J43" s="13"/>
      <c r="L43" s="2"/>
    </row>
    <row r="44" spans="1:12" ht="32.25" customHeight="1" x14ac:dyDescent="0.3">
      <c r="A44" s="6" t="s">
        <v>49</v>
      </c>
      <c r="B44" s="5"/>
      <c r="C44" s="4"/>
      <c r="D44" s="15" t="s">
        <v>164</v>
      </c>
      <c r="E44" s="40" t="s">
        <v>136</v>
      </c>
      <c r="F44" s="40" t="s">
        <v>136</v>
      </c>
      <c r="G44" s="37" t="s">
        <v>31</v>
      </c>
      <c r="H44" s="40" t="s">
        <v>136</v>
      </c>
      <c r="I44" s="40" t="s">
        <v>136</v>
      </c>
      <c r="J44" s="13"/>
      <c r="L44" s="2"/>
    </row>
    <row r="45" spans="1:12" ht="32.25" customHeight="1" x14ac:dyDescent="0.3">
      <c r="A45" s="6"/>
      <c r="B45" s="5"/>
      <c r="C45" s="4"/>
      <c r="D45" s="15" t="s">
        <v>184</v>
      </c>
      <c r="E45" s="40"/>
      <c r="F45" s="40">
        <f>24</f>
        <v>24</v>
      </c>
      <c r="G45" s="13" t="s">
        <v>30</v>
      </c>
      <c r="H45" s="43">
        <f>6473.4/F45</f>
        <v>269.72499999999997</v>
      </c>
      <c r="I45" s="53">
        <f t="shared" ref="I45" si="2">F45*H45</f>
        <v>6473.4</v>
      </c>
      <c r="J45" s="13" t="s">
        <v>185</v>
      </c>
      <c r="L45" s="2"/>
    </row>
    <row r="46" spans="1:12" ht="32.25" x14ac:dyDescent="0.3">
      <c r="A46" s="6" t="s">
        <v>50</v>
      </c>
      <c r="B46" s="5"/>
      <c r="C46" s="4"/>
      <c r="D46" s="15" t="s">
        <v>100</v>
      </c>
      <c r="E46" s="40" t="s">
        <v>136</v>
      </c>
      <c r="F46" s="40"/>
      <c r="G46" s="13" t="s">
        <v>114</v>
      </c>
      <c r="H46" s="43"/>
      <c r="I46" s="53"/>
      <c r="J46" s="13"/>
      <c r="L46" s="2"/>
    </row>
    <row r="47" spans="1:12" ht="48" x14ac:dyDescent="0.3">
      <c r="A47" s="6"/>
      <c r="B47" s="5"/>
      <c r="C47" s="4"/>
      <c r="D47" s="15" t="s">
        <v>194</v>
      </c>
      <c r="E47" s="40"/>
      <c r="F47" s="40">
        <f>0.2</f>
        <v>0.2</v>
      </c>
      <c r="G47" s="13" t="s">
        <v>114</v>
      </c>
      <c r="H47" s="43">
        <f>672.8/F47</f>
        <v>3363.9999999999995</v>
      </c>
      <c r="I47" s="53">
        <f>F47*H47</f>
        <v>672.8</v>
      </c>
      <c r="J47" s="13" t="s">
        <v>121</v>
      </c>
      <c r="L47" s="2"/>
    </row>
    <row r="48" spans="1:12" ht="48" x14ac:dyDescent="0.3">
      <c r="A48" s="6"/>
      <c r="B48" s="5"/>
      <c r="C48" s="4"/>
      <c r="D48" s="15" t="s">
        <v>195</v>
      </c>
      <c r="E48" s="40"/>
      <c r="F48" s="40">
        <v>0.8</v>
      </c>
      <c r="G48" s="13" t="s">
        <v>114</v>
      </c>
      <c r="H48" s="43">
        <f>1819.8/0.8</f>
        <v>2274.75</v>
      </c>
      <c r="I48" s="53">
        <f>F48*H48</f>
        <v>1819.8000000000002</v>
      </c>
      <c r="J48" s="13" t="s">
        <v>121</v>
      </c>
      <c r="L48" s="2"/>
    </row>
    <row r="49" spans="1:12" ht="32.25" x14ac:dyDescent="0.3">
      <c r="A49" s="6" t="s">
        <v>59</v>
      </c>
      <c r="B49" s="8"/>
      <c r="C49" s="4"/>
      <c r="D49" s="15" t="s">
        <v>46</v>
      </c>
      <c r="E49" s="40" t="s">
        <v>136</v>
      </c>
      <c r="F49" s="40" t="s">
        <v>136</v>
      </c>
      <c r="G49" s="14" t="s">
        <v>53</v>
      </c>
      <c r="H49" s="40"/>
      <c r="I49" s="40" t="s">
        <v>136</v>
      </c>
      <c r="J49" s="13"/>
      <c r="L49" s="2"/>
    </row>
    <row r="50" spans="1:12" ht="32.25" x14ac:dyDescent="0.3">
      <c r="A50" s="6" t="s">
        <v>61</v>
      </c>
      <c r="B50" s="5"/>
      <c r="C50" s="4"/>
      <c r="D50" s="15" t="s">
        <v>51</v>
      </c>
      <c r="E50" s="40"/>
      <c r="F50" s="40"/>
      <c r="G50" s="44" t="s">
        <v>170</v>
      </c>
      <c r="H50" s="40"/>
      <c r="I50" s="40"/>
      <c r="J50" s="13"/>
      <c r="L50" s="2"/>
    </row>
    <row r="51" spans="1:12" ht="32.25" x14ac:dyDescent="0.3">
      <c r="A51" s="6" t="s">
        <v>62</v>
      </c>
      <c r="B51" s="5"/>
      <c r="C51" s="4"/>
      <c r="D51" s="15" t="s">
        <v>64</v>
      </c>
      <c r="E51" s="40" t="s">
        <v>136</v>
      </c>
      <c r="F51" s="40" t="s">
        <v>136</v>
      </c>
      <c r="G51" s="13" t="s">
        <v>30</v>
      </c>
      <c r="H51" s="40" t="s">
        <v>136</v>
      </c>
      <c r="I51" s="40" t="s">
        <v>136</v>
      </c>
      <c r="J51" s="13"/>
      <c r="L51" s="2"/>
    </row>
    <row r="52" spans="1:12" ht="18.75" x14ac:dyDescent="0.3">
      <c r="A52" s="6"/>
      <c r="B52" s="5"/>
      <c r="C52" s="4"/>
      <c r="D52" s="15" t="s">
        <v>150</v>
      </c>
      <c r="E52" s="40" t="s">
        <v>136</v>
      </c>
      <c r="F52" s="40" t="s">
        <v>136</v>
      </c>
      <c r="G52" s="13" t="s">
        <v>31</v>
      </c>
      <c r="H52" s="40" t="s">
        <v>136</v>
      </c>
      <c r="I52" s="40" t="s">
        <v>136</v>
      </c>
      <c r="J52" s="13"/>
      <c r="L52" s="2"/>
    </row>
    <row r="53" spans="1:12" ht="18.75" x14ac:dyDescent="0.3">
      <c r="A53" s="6" t="s">
        <v>58</v>
      </c>
      <c r="B53" s="8"/>
      <c r="C53" s="4"/>
      <c r="D53" s="4" t="s">
        <v>47</v>
      </c>
      <c r="E53" s="40" t="s">
        <v>136</v>
      </c>
      <c r="F53" s="40" t="s">
        <v>136</v>
      </c>
      <c r="G53" s="14" t="s">
        <v>53</v>
      </c>
      <c r="H53" s="40" t="s">
        <v>136</v>
      </c>
      <c r="I53" s="40" t="s">
        <v>136</v>
      </c>
      <c r="J53" s="13"/>
      <c r="L53" s="2"/>
    </row>
    <row r="54" spans="1:12" ht="24" customHeight="1" x14ac:dyDescent="0.3">
      <c r="A54" s="6" t="s">
        <v>60</v>
      </c>
      <c r="B54" s="8"/>
      <c r="C54" s="4"/>
      <c r="D54" s="4" t="s">
        <v>48</v>
      </c>
      <c r="E54" s="40" t="s">
        <v>136</v>
      </c>
      <c r="F54" s="40" t="s">
        <v>136</v>
      </c>
      <c r="G54" s="14" t="s">
        <v>53</v>
      </c>
      <c r="H54" s="40" t="s">
        <v>136</v>
      </c>
      <c r="I54" s="40" t="s">
        <v>136</v>
      </c>
      <c r="J54" s="13"/>
      <c r="L54" s="2"/>
    </row>
    <row r="55" spans="1:12" ht="18.75" x14ac:dyDescent="0.3">
      <c r="A55" s="6" t="s">
        <v>65</v>
      </c>
      <c r="B55" s="5"/>
      <c r="C55" s="4"/>
      <c r="D55" s="4" t="s">
        <v>93</v>
      </c>
      <c r="E55" s="40" t="s">
        <v>136</v>
      </c>
      <c r="F55" s="40" t="s">
        <v>136</v>
      </c>
      <c r="G55" s="14" t="s">
        <v>54</v>
      </c>
      <c r="H55" s="40" t="s">
        <v>136</v>
      </c>
      <c r="I55" s="40" t="s">
        <v>136</v>
      </c>
      <c r="J55" s="13"/>
      <c r="L55" s="2"/>
    </row>
    <row r="56" spans="1:12" ht="18.75" x14ac:dyDescent="0.3">
      <c r="A56" s="28"/>
      <c r="B56" s="22"/>
      <c r="C56" s="22"/>
      <c r="D56" s="22"/>
      <c r="E56" s="45"/>
      <c r="F56" s="45"/>
      <c r="G56" s="12"/>
      <c r="H56" s="40"/>
      <c r="I56" s="40">
        <f>SUM(I45:I55)</f>
        <v>8966</v>
      </c>
      <c r="J56" s="13"/>
      <c r="L56" s="2"/>
    </row>
    <row r="57" spans="1:12" ht="18.75" x14ac:dyDescent="0.3">
      <c r="A57" s="71" t="s">
        <v>67</v>
      </c>
      <c r="B57" s="72"/>
      <c r="C57" s="72"/>
      <c r="D57" s="72"/>
      <c r="E57" s="72"/>
      <c r="F57" s="72"/>
      <c r="G57" s="73"/>
      <c r="H57" s="18"/>
      <c r="I57" s="5"/>
      <c r="J57" s="13"/>
      <c r="L57" s="2"/>
    </row>
    <row r="58" spans="1:12" ht="37.5" x14ac:dyDescent="0.25">
      <c r="A58" s="9" t="s">
        <v>29</v>
      </c>
      <c r="B58" s="8"/>
      <c r="C58" s="4"/>
      <c r="D58" s="15" t="s">
        <v>175</v>
      </c>
      <c r="E58" s="40"/>
      <c r="F58" s="40">
        <f>8</f>
        <v>8</v>
      </c>
      <c r="G58" s="13" t="s">
        <v>54</v>
      </c>
      <c r="H58" s="43">
        <f>1382.2/F58</f>
        <v>172.77500000000001</v>
      </c>
      <c r="I58" s="40">
        <f>F58*H58</f>
        <v>1382.2</v>
      </c>
      <c r="J58" s="13" t="s">
        <v>119</v>
      </c>
      <c r="L58" s="2"/>
    </row>
    <row r="59" spans="1:12" ht="46.5" customHeight="1" x14ac:dyDescent="0.25">
      <c r="A59" s="9" t="s">
        <v>92</v>
      </c>
      <c r="B59" s="8"/>
      <c r="C59" s="4"/>
      <c r="D59" s="41" t="s">
        <v>123</v>
      </c>
      <c r="E59" s="32"/>
      <c r="F59" s="13">
        <v>975</v>
      </c>
      <c r="G59" s="13" t="s">
        <v>114</v>
      </c>
      <c r="H59" s="33">
        <f>(4564.4+4564.4+4564.4+4592.2+4592.2+4615.4+4795.2+4795.2+4795.2+4857.6+4857.6+4857.6)/F59</f>
        <v>57.898871794871788</v>
      </c>
      <c r="I59" s="33">
        <f t="shared" ref="I59" si="3">F59*H59</f>
        <v>56451.399999999994</v>
      </c>
      <c r="J59" s="13" t="s">
        <v>119</v>
      </c>
      <c r="L59" s="2"/>
    </row>
    <row r="60" spans="1:12" ht="46.5" customHeight="1" x14ac:dyDescent="0.25">
      <c r="A60" s="9"/>
      <c r="B60" s="8"/>
      <c r="C60" s="4"/>
      <c r="D60" s="15" t="s">
        <v>112</v>
      </c>
      <c r="E60" s="40" t="s">
        <v>136</v>
      </c>
      <c r="F60" s="40">
        <f>1798</f>
        <v>1798</v>
      </c>
      <c r="G60" s="13" t="s">
        <v>30</v>
      </c>
      <c r="H60" s="43">
        <f>170414.2/F60</f>
        <v>94.779866518353728</v>
      </c>
      <c r="I60" s="40">
        <f>F60*H60</f>
        <v>170414.2</v>
      </c>
      <c r="J60" s="13" t="s">
        <v>182</v>
      </c>
      <c r="L60" s="2"/>
    </row>
    <row r="61" spans="1:12" ht="46.5" customHeight="1" x14ac:dyDescent="0.25">
      <c r="A61" s="9"/>
      <c r="B61" s="8"/>
      <c r="C61" s="4"/>
      <c r="D61" s="15" t="s">
        <v>113</v>
      </c>
      <c r="E61" s="40" t="s">
        <v>136</v>
      </c>
      <c r="F61" s="40">
        <f>589.3</f>
        <v>589.29999999999995</v>
      </c>
      <c r="G61" s="13" t="s">
        <v>30</v>
      </c>
      <c r="H61" s="43">
        <f>56445/F61</f>
        <v>95.783132530120483</v>
      </c>
      <c r="I61" s="40">
        <f>F61*H61</f>
        <v>56444.999999999993</v>
      </c>
      <c r="J61" s="13" t="s">
        <v>182</v>
      </c>
      <c r="L61" s="2"/>
    </row>
    <row r="62" spans="1:12" ht="46.5" customHeight="1" x14ac:dyDescent="0.25">
      <c r="A62" s="9"/>
      <c r="B62" s="8"/>
      <c r="C62" s="4"/>
      <c r="D62" s="15" t="s">
        <v>148</v>
      </c>
      <c r="E62" s="40" t="s">
        <v>136</v>
      </c>
      <c r="F62" s="40">
        <f>1+1</f>
        <v>2</v>
      </c>
      <c r="G62" s="13" t="s">
        <v>31</v>
      </c>
      <c r="H62" s="40">
        <f>(1524.6+1532.6)/F62</f>
        <v>1528.6</v>
      </c>
      <c r="I62" s="40">
        <f>F62*H62</f>
        <v>3057.2</v>
      </c>
      <c r="J62" s="13" t="s">
        <v>182</v>
      </c>
      <c r="L62" s="2"/>
    </row>
    <row r="63" spans="1:12" ht="46.5" customHeight="1" x14ac:dyDescent="0.25">
      <c r="A63" s="9"/>
      <c r="B63" s="8"/>
      <c r="C63" s="4"/>
      <c r="D63" s="15" t="s">
        <v>211</v>
      </c>
      <c r="E63" s="40" t="s">
        <v>136</v>
      </c>
      <c r="F63" s="40">
        <v>290</v>
      </c>
      <c r="G63" s="13" t="s">
        <v>114</v>
      </c>
      <c r="H63" s="63">
        <f>116.2/F63</f>
        <v>0.40068965517241378</v>
      </c>
      <c r="I63" s="40">
        <f>F63*H63</f>
        <v>116.2</v>
      </c>
      <c r="J63" s="13" t="s">
        <v>119</v>
      </c>
      <c r="L63" s="2"/>
    </row>
    <row r="64" spans="1:12" ht="31.5" x14ac:dyDescent="0.25">
      <c r="A64" s="9" t="s">
        <v>83</v>
      </c>
      <c r="B64" s="8"/>
      <c r="C64" s="4"/>
      <c r="D64" s="15" t="s">
        <v>152</v>
      </c>
      <c r="E64" s="40" t="s">
        <v>136</v>
      </c>
      <c r="F64" s="40" t="s">
        <v>136</v>
      </c>
      <c r="G64" s="13" t="s">
        <v>54</v>
      </c>
      <c r="H64" s="40" t="s">
        <v>136</v>
      </c>
      <c r="I64" s="40" t="s">
        <v>136</v>
      </c>
      <c r="J64" s="13"/>
      <c r="L64" s="2"/>
    </row>
    <row r="65" spans="1:12" ht="18.75" x14ac:dyDescent="0.25">
      <c r="A65" s="9"/>
      <c r="B65" s="8"/>
      <c r="C65" s="4"/>
      <c r="D65" s="15" t="s">
        <v>153</v>
      </c>
      <c r="E65" s="40" t="s">
        <v>136</v>
      </c>
      <c r="F65" s="40">
        <f>1</f>
        <v>1</v>
      </c>
      <c r="G65" s="13" t="s">
        <v>154</v>
      </c>
      <c r="H65" s="40">
        <f>3631.8/F65</f>
        <v>3631.8</v>
      </c>
      <c r="I65" s="60">
        <f>F65*H65</f>
        <v>3631.8</v>
      </c>
      <c r="J65" s="13" t="s">
        <v>182</v>
      </c>
      <c r="L65" s="2"/>
    </row>
    <row r="66" spans="1:12" ht="18.75" x14ac:dyDescent="0.25">
      <c r="A66" s="9" t="s">
        <v>20</v>
      </c>
      <c r="B66" s="8"/>
      <c r="C66" s="4"/>
      <c r="D66" s="15" t="s">
        <v>68</v>
      </c>
      <c r="E66" s="40" t="s">
        <v>136</v>
      </c>
      <c r="F66" s="40" t="s">
        <v>136</v>
      </c>
      <c r="G66" s="13" t="s">
        <v>30</v>
      </c>
      <c r="H66" s="40" t="s">
        <v>136</v>
      </c>
      <c r="I66" s="40" t="s">
        <v>136</v>
      </c>
      <c r="J66" s="13"/>
      <c r="L66" s="2"/>
    </row>
    <row r="67" spans="1:12" ht="31.5" x14ac:dyDescent="0.25">
      <c r="A67" s="9" t="s">
        <v>21</v>
      </c>
      <c r="B67" s="8"/>
      <c r="C67" s="4"/>
      <c r="D67" s="15" t="s">
        <v>70</v>
      </c>
      <c r="E67" s="40" t="s">
        <v>136</v>
      </c>
      <c r="F67" s="40" t="s">
        <v>136</v>
      </c>
      <c r="G67" s="13" t="s">
        <v>54</v>
      </c>
      <c r="H67" s="40" t="s">
        <v>136</v>
      </c>
      <c r="I67" s="40" t="s">
        <v>136</v>
      </c>
      <c r="J67" s="13"/>
      <c r="L67" s="2"/>
    </row>
    <row r="68" spans="1:12" ht="18.75" x14ac:dyDescent="0.25">
      <c r="A68" s="46"/>
      <c r="B68" s="47"/>
      <c r="C68" s="22"/>
      <c r="D68" s="30"/>
      <c r="E68" s="45"/>
      <c r="F68" s="45"/>
      <c r="G68" s="31"/>
      <c r="H68" s="40"/>
      <c r="I68" s="40">
        <f>SUM(I58:I67)</f>
        <v>291498</v>
      </c>
      <c r="J68" s="13"/>
      <c r="L68" s="2"/>
    </row>
    <row r="69" spans="1:12" ht="18.75" x14ac:dyDescent="0.3">
      <c r="A69" s="67" t="s">
        <v>71</v>
      </c>
      <c r="B69" s="68"/>
      <c r="C69" s="68"/>
      <c r="D69" s="68"/>
      <c r="E69" s="68"/>
      <c r="F69" s="68"/>
      <c r="G69" s="69"/>
      <c r="H69" s="19"/>
      <c r="I69" s="5"/>
      <c r="J69" s="13"/>
      <c r="L69" s="2"/>
    </row>
    <row r="70" spans="1:12" ht="37.5" x14ac:dyDescent="0.25">
      <c r="A70" s="9" t="s">
        <v>92</v>
      </c>
      <c r="B70" s="8"/>
      <c r="C70" s="4"/>
      <c r="D70" s="4" t="s">
        <v>125</v>
      </c>
      <c r="E70" s="31"/>
      <c r="F70" s="13">
        <f>7+7+4+4+8+2+6+4+34+9</f>
        <v>85</v>
      </c>
      <c r="G70" s="13" t="s">
        <v>116</v>
      </c>
      <c r="H70" s="33">
        <f>(4915.6+4915.6+2808.4+2828+5651.6+1412.8+4405.2+2937+2202+2972.8+6689.8)/F70/3</f>
        <v>163.68156862745099</v>
      </c>
      <c r="I70" s="33">
        <f>F70*H70</f>
        <v>13912.933333333334</v>
      </c>
      <c r="J70" s="13" t="s">
        <v>119</v>
      </c>
      <c r="L70" s="2"/>
    </row>
    <row r="71" spans="1:12" ht="18.75" x14ac:dyDescent="0.25">
      <c r="A71" s="9"/>
      <c r="B71" s="8"/>
      <c r="C71" s="4"/>
      <c r="D71" s="15" t="s">
        <v>143</v>
      </c>
      <c r="E71" s="40" t="s">
        <v>136</v>
      </c>
      <c r="F71" s="40" t="s">
        <v>136</v>
      </c>
      <c r="G71" s="13" t="s">
        <v>31</v>
      </c>
      <c r="H71" s="40"/>
      <c r="I71" s="40" t="s">
        <v>136</v>
      </c>
      <c r="J71" s="13"/>
      <c r="L71" s="2"/>
    </row>
    <row r="72" spans="1:12" ht="31.5" x14ac:dyDescent="0.25">
      <c r="A72" s="9"/>
      <c r="B72" s="8"/>
      <c r="C72" s="4"/>
      <c r="D72" s="15" t="s">
        <v>148</v>
      </c>
      <c r="E72" s="40" t="s">
        <v>136</v>
      </c>
      <c r="F72" s="40">
        <f>1+2+1+2+1</f>
        <v>7</v>
      </c>
      <c r="G72" s="13" t="s">
        <v>31</v>
      </c>
      <c r="H72" s="43">
        <f>(1434.6+2908.8+1452.4+3066.4+1532.6)/F72</f>
        <v>1484.9714285714285</v>
      </c>
      <c r="I72" s="40">
        <f>F72*H72</f>
        <v>10394.799999999999</v>
      </c>
      <c r="J72" s="13" t="s">
        <v>177</v>
      </c>
      <c r="L72" s="2"/>
    </row>
    <row r="73" spans="1:12" ht="31.5" x14ac:dyDescent="0.25">
      <c r="A73" s="9"/>
      <c r="B73" s="8"/>
      <c r="C73" s="4"/>
      <c r="D73" s="15" t="s">
        <v>159</v>
      </c>
      <c r="E73" s="40" t="s">
        <v>136</v>
      </c>
      <c r="F73" s="40">
        <f>1+5</f>
        <v>6</v>
      </c>
      <c r="G73" s="13" t="s">
        <v>30</v>
      </c>
      <c r="H73" s="43">
        <f>(344.8+1722.2)/F73</f>
        <v>344.5</v>
      </c>
      <c r="I73" s="53">
        <f t="shared" ref="I73:I81" si="4">F73*H73</f>
        <v>2067</v>
      </c>
      <c r="J73" s="13" t="s">
        <v>119</v>
      </c>
      <c r="L73" s="2"/>
    </row>
    <row r="74" spans="1:12" ht="78.75" x14ac:dyDescent="0.25">
      <c r="A74" s="9"/>
      <c r="B74" s="8"/>
      <c r="C74" s="4"/>
      <c r="D74" s="15" t="s">
        <v>160</v>
      </c>
      <c r="E74" s="40" t="s">
        <v>136</v>
      </c>
      <c r="F74" s="40">
        <f>2</f>
        <v>2</v>
      </c>
      <c r="G74" s="13" t="s">
        <v>158</v>
      </c>
      <c r="H74" s="43">
        <f>74.6/F74</f>
        <v>37.299999999999997</v>
      </c>
      <c r="I74" s="53">
        <f t="shared" si="4"/>
        <v>74.599999999999994</v>
      </c>
      <c r="J74" s="13" t="s">
        <v>119</v>
      </c>
      <c r="L74" s="2"/>
    </row>
    <row r="75" spans="1:12" ht="47.25" x14ac:dyDescent="0.25">
      <c r="A75" s="9"/>
      <c r="B75" s="8"/>
      <c r="C75" s="4"/>
      <c r="D75" s="15" t="s">
        <v>178</v>
      </c>
      <c r="E75" s="40" t="s">
        <v>136</v>
      </c>
      <c r="F75" s="40">
        <f>1</f>
        <v>1</v>
      </c>
      <c r="G75" s="13" t="s">
        <v>30</v>
      </c>
      <c r="H75" s="43">
        <f>2131/F75</f>
        <v>2131</v>
      </c>
      <c r="I75" s="53">
        <f t="shared" si="4"/>
        <v>2131</v>
      </c>
      <c r="J75" s="13" t="s">
        <v>119</v>
      </c>
      <c r="L75" s="2"/>
    </row>
    <row r="76" spans="1:12" ht="78.75" x14ac:dyDescent="0.25">
      <c r="A76" s="9"/>
      <c r="B76" s="8"/>
      <c r="C76" s="4"/>
      <c r="D76" s="15" t="s">
        <v>206</v>
      </c>
      <c r="E76" s="40" t="s">
        <v>136</v>
      </c>
      <c r="F76" s="40">
        <v>8</v>
      </c>
      <c r="G76" s="13" t="s">
        <v>158</v>
      </c>
      <c r="H76" s="40">
        <f>204.2/F76</f>
        <v>25.524999999999999</v>
      </c>
      <c r="I76" s="60">
        <f t="shared" si="4"/>
        <v>204.2</v>
      </c>
      <c r="J76" s="13" t="s">
        <v>119</v>
      </c>
      <c r="L76" s="2"/>
    </row>
    <row r="77" spans="1:12" ht="47.25" x14ac:dyDescent="0.25">
      <c r="A77" s="9"/>
      <c r="B77" s="8"/>
      <c r="C77" s="4"/>
      <c r="D77" s="15" t="s">
        <v>179</v>
      </c>
      <c r="E77" s="40" t="s">
        <v>136</v>
      </c>
      <c r="F77" s="40">
        <f>5</f>
        <v>5</v>
      </c>
      <c r="G77" s="13" t="s">
        <v>30</v>
      </c>
      <c r="H77" s="43">
        <f>2441.4/F77</f>
        <v>488.28000000000003</v>
      </c>
      <c r="I77" s="60">
        <f t="shared" si="4"/>
        <v>2441.4</v>
      </c>
      <c r="J77" s="13" t="s">
        <v>119</v>
      </c>
      <c r="L77" s="2"/>
    </row>
    <row r="78" spans="1:12" ht="31.5" x14ac:dyDescent="0.25">
      <c r="A78" s="9"/>
      <c r="B78" s="8"/>
      <c r="C78" s="4"/>
      <c r="D78" s="15" t="s">
        <v>212</v>
      </c>
      <c r="E78" s="40" t="s">
        <v>136</v>
      </c>
      <c r="F78" s="40">
        <v>11</v>
      </c>
      <c r="G78" s="13" t="s">
        <v>213</v>
      </c>
      <c r="H78" s="43">
        <f>13799.4/F78</f>
        <v>1254.4909090909091</v>
      </c>
      <c r="I78" s="53">
        <f t="shared" si="4"/>
        <v>13799.4</v>
      </c>
      <c r="J78" s="13" t="s">
        <v>121</v>
      </c>
      <c r="L78" s="2"/>
    </row>
    <row r="79" spans="1:12" ht="18.75" x14ac:dyDescent="0.25">
      <c r="A79" s="9"/>
      <c r="B79" s="8"/>
      <c r="C79" s="4"/>
      <c r="D79" s="15" t="s">
        <v>156</v>
      </c>
      <c r="E79" s="40" t="s">
        <v>136</v>
      </c>
      <c r="F79" s="40">
        <f>2</f>
        <v>2</v>
      </c>
      <c r="G79" s="13" t="s">
        <v>144</v>
      </c>
      <c r="H79" s="40">
        <f>1919.4/F79</f>
        <v>959.7</v>
      </c>
      <c r="I79" s="53">
        <f t="shared" si="4"/>
        <v>1919.4</v>
      </c>
      <c r="J79" s="13" t="s">
        <v>121</v>
      </c>
      <c r="L79" s="2"/>
    </row>
    <row r="80" spans="1:12" ht="31.5" x14ac:dyDescent="0.25">
      <c r="A80" s="9"/>
      <c r="B80" s="8"/>
      <c r="C80" s="4"/>
      <c r="D80" s="15" t="s">
        <v>166</v>
      </c>
      <c r="E80" s="40" t="s">
        <v>136</v>
      </c>
      <c r="F80" s="40">
        <f>1+4</f>
        <v>5</v>
      </c>
      <c r="G80" s="13" t="s">
        <v>145</v>
      </c>
      <c r="H80" s="40">
        <f>(7176.4+29729)/F80</f>
        <v>7381.08</v>
      </c>
      <c r="I80" s="53">
        <f t="shared" si="4"/>
        <v>36905.4</v>
      </c>
      <c r="J80" s="13" t="s">
        <v>121</v>
      </c>
      <c r="L80" s="2"/>
    </row>
    <row r="81" spans="1:12" ht="31.5" x14ac:dyDescent="0.25">
      <c r="A81" s="9"/>
      <c r="B81" s="8"/>
      <c r="C81" s="4"/>
      <c r="D81" s="15" t="s">
        <v>197</v>
      </c>
      <c r="E81" s="40" t="s">
        <v>136</v>
      </c>
      <c r="F81" s="40">
        <f>1+6+12</f>
        <v>19</v>
      </c>
      <c r="G81" s="13" t="s">
        <v>30</v>
      </c>
      <c r="H81" s="43">
        <f>(1357.6+8408.6+17047)/F81</f>
        <v>1411.2210526315789</v>
      </c>
      <c r="I81" s="53">
        <f t="shared" si="4"/>
        <v>26813.200000000001</v>
      </c>
      <c r="J81" s="13" t="s">
        <v>183</v>
      </c>
      <c r="L81" s="2"/>
    </row>
    <row r="82" spans="1:12" ht="18.75" x14ac:dyDescent="0.25">
      <c r="A82" s="9"/>
      <c r="B82" s="8"/>
      <c r="C82" s="4"/>
      <c r="D82" s="15" t="s">
        <v>149</v>
      </c>
      <c r="E82" s="40"/>
      <c r="F82" s="40">
        <f>1</f>
        <v>1</v>
      </c>
      <c r="G82" s="13" t="s">
        <v>31</v>
      </c>
      <c r="H82" s="43">
        <f>6490.4/F82</f>
        <v>6490.4</v>
      </c>
      <c r="I82" s="61">
        <f>F82*H82</f>
        <v>6490.4</v>
      </c>
      <c r="J82" s="13" t="s">
        <v>182</v>
      </c>
      <c r="L82" s="2"/>
    </row>
    <row r="83" spans="1:12" ht="18.75" x14ac:dyDescent="0.25">
      <c r="A83" s="9" t="s">
        <v>83</v>
      </c>
      <c r="B83" s="8"/>
      <c r="C83" s="4"/>
      <c r="D83" s="15" t="s">
        <v>69</v>
      </c>
      <c r="E83" s="40" t="s">
        <v>136</v>
      </c>
      <c r="F83" s="40" t="s">
        <v>136</v>
      </c>
      <c r="G83" s="13" t="s">
        <v>54</v>
      </c>
      <c r="H83" s="40"/>
      <c r="I83" s="40" t="s">
        <v>136</v>
      </c>
      <c r="J83" s="13"/>
      <c r="L83" s="2"/>
    </row>
    <row r="84" spans="1:12" ht="18.75" x14ac:dyDescent="0.25">
      <c r="A84" s="9"/>
      <c r="B84" s="8"/>
      <c r="C84" s="4"/>
      <c r="D84" s="15" t="s">
        <v>188</v>
      </c>
      <c r="E84" s="40" t="s">
        <v>136</v>
      </c>
      <c r="F84" s="40">
        <f>1+1</f>
        <v>2</v>
      </c>
      <c r="G84" s="13" t="s">
        <v>31</v>
      </c>
      <c r="H84" s="43">
        <f>(1069.6+1210)/F84</f>
        <v>1139.8</v>
      </c>
      <c r="I84" s="53">
        <f>F84*H84</f>
        <v>2279.6</v>
      </c>
      <c r="J84" s="13" t="s">
        <v>121</v>
      </c>
      <c r="L84" s="2"/>
    </row>
    <row r="85" spans="1:12" ht="18.75" x14ac:dyDescent="0.25">
      <c r="A85" s="9"/>
      <c r="B85" s="8"/>
      <c r="C85" s="4"/>
      <c r="D85" s="15" t="s">
        <v>196</v>
      </c>
      <c r="E85" s="40"/>
      <c r="F85" s="40">
        <f>1</f>
        <v>1</v>
      </c>
      <c r="G85" s="13" t="s">
        <v>31</v>
      </c>
      <c r="H85" s="40">
        <f>250.2/F85</f>
        <v>250.2</v>
      </c>
      <c r="I85" s="53">
        <f>F85*H85</f>
        <v>250.2</v>
      </c>
      <c r="J85" s="13" t="s">
        <v>121</v>
      </c>
      <c r="L85" s="2"/>
    </row>
    <row r="86" spans="1:12" ht="31.5" x14ac:dyDescent="0.25">
      <c r="A86" s="9" t="s">
        <v>21</v>
      </c>
      <c r="B86" s="8"/>
      <c r="C86" s="4"/>
      <c r="D86" s="15" t="s">
        <v>70</v>
      </c>
      <c r="E86" s="40" t="s">
        <v>136</v>
      </c>
      <c r="F86" s="40" t="s">
        <v>136</v>
      </c>
      <c r="G86" s="13" t="s">
        <v>138</v>
      </c>
      <c r="H86" s="40" t="s">
        <v>136</v>
      </c>
      <c r="I86" s="40" t="s">
        <v>136</v>
      </c>
      <c r="J86" s="13"/>
      <c r="L86" s="2"/>
    </row>
    <row r="87" spans="1:12" ht="18.75" x14ac:dyDescent="0.25">
      <c r="A87" s="46"/>
      <c r="B87" s="47"/>
      <c r="C87" s="22"/>
      <c r="D87" s="30"/>
      <c r="E87" s="45"/>
      <c r="F87" s="45"/>
      <c r="G87" s="31"/>
      <c r="H87" s="40"/>
      <c r="I87" s="43">
        <f>SUM(I70:I86)</f>
        <v>119683.53333333333</v>
      </c>
      <c r="J87" s="13"/>
      <c r="L87" s="2"/>
    </row>
    <row r="88" spans="1:12" ht="18.75" x14ac:dyDescent="0.3">
      <c r="A88" s="67" t="s">
        <v>72</v>
      </c>
      <c r="B88" s="68"/>
      <c r="C88" s="68"/>
      <c r="D88" s="68"/>
      <c r="E88" s="68"/>
      <c r="F88" s="68"/>
      <c r="G88" s="69"/>
      <c r="H88" s="13"/>
      <c r="I88" s="5"/>
      <c r="J88" s="13"/>
      <c r="L88" s="2"/>
    </row>
    <row r="89" spans="1:12" ht="37.5" x14ac:dyDescent="0.25">
      <c r="A89" s="9" t="s">
        <v>92</v>
      </c>
      <c r="B89" s="8"/>
      <c r="C89" s="4"/>
      <c r="D89" s="4" t="s">
        <v>126</v>
      </c>
      <c r="E89" s="31"/>
      <c r="F89" s="13">
        <f>7+7+4+4+8+2+6+4+34+9</f>
        <v>85</v>
      </c>
      <c r="G89" s="13" t="s">
        <v>116</v>
      </c>
      <c r="H89" s="33">
        <f>(4915.6+4915.6+2808.4+2828+5651.6+1412.8+4405.2+2937+2202+2972.8+6689.8)/F89/3</f>
        <v>163.68156862745099</v>
      </c>
      <c r="I89" s="33">
        <f>F89*H89</f>
        <v>13912.933333333334</v>
      </c>
      <c r="J89" s="13" t="s">
        <v>119</v>
      </c>
      <c r="L89" s="2"/>
    </row>
    <row r="90" spans="1:12" ht="31.5" x14ac:dyDescent="0.25">
      <c r="A90" s="9"/>
      <c r="B90" s="8"/>
      <c r="C90" s="4"/>
      <c r="D90" s="15" t="s">
        <v>159</v>
      </c>
      <c r="E90" s="40" t="s">
        <v>136</v>
      </c>
      <c r="F90" s="40">
        <f>12</f>
        <v>12</v>
      </c>
      <c r="G90" s="13" t="s">
        <v>30</v>
      </c>
      <c r="H90" s="40">
        <f>3933/F90</f>
        <v>327.75</v>
      </c>
      <c r="I90" s="60">
        <f>F90*H90</f>
        <v>3933</v>
      </c>
      <c r="J90" s="13" t="s">
        <v>121</v>
      </c>
      <c r="L90" s="2"/>
    </row>
    <row r="91" spans="1:12" ht="78.75" x14ac:dyDescent="0.25">
      <c r="A91" s="9"/>
      <c r="B91" s="8"/>
      <c r="C91" s="4"/>
      <c r="D91" s="15" t="s">
        <v>206</v>
      </c>
      <c r="E91" s="40" t="s">
        <v>136</v>
      </c>
      <c r="F91" s="40">
        <f>12</f>
        <v>12</v>
      </c>
      <c r="G91" s="13" t="s">
        <v>158</v>
      </c>
      <c r="H91" s="40">
        <f>289.2/F91</f>
        <v>24.099999999999998</v>
      </c>
      <c r="I91" s="60">
        <f t="shared" ref="I91:I92" si="5">F91*H91</f>
        <v>289.2</v>
      </c>
      <c r="J91" s="13" t="s">
        <v>121</v>
      </c>
      <c r="L91" s="2"/>
    </row>
    <row r="92" spans="1:12" ht="47.25" x14ac:dyDescent="0.25">
      <c r="A92" s="9"/>
      <c r="B92" s="8"/>
      <c r="C92" s="4"/>
      <c r="D92" s="15" t="s">
        <v>179</v>
      </c>
      <c r="E92" s="40" t="s">
        <v>136</v>
      </c>
      <c r="F92" s="40">
        <f>12</f>
        <v>12</v>
      </c>
      <c r="G92" s="13" t="s">
        <v>30</v>
      </c>
      <c r="H92" s="43">
        <f>3438.4/F92</f>
        <v>286.53333333333336</v>
      </c>
      <c r="I92" s="60">
        <f t="shared" si="5"/>
        <v>3438.4000000000005</v>
      </c>
      <c r="J92" s="13" t="s">
        <v>121</v>
      </c>
      <c r="L92" s="2"/>
    </row>
    <row r="93" spans="1:12" ht="31.5" x14ac:dyDescent="0.25">
      <c r="A93" s="9"/>
      <c r="B93" s="8"/>
      <c r="C93" s="4"/>
      <c r="D93" s="15" t="s">
        <v>157</v>
      </c>
      <c r="E93" s="40" t="s">
        <v>136</v>
      </c>
      <c r="F93" s="40">
        <f>1</f>
        <v>1</v>
      </c>
      <c r="G93" s="13" t="s">
        <v>145</v>
      </c>
      <c r="H93" s="40">
        <f>7316.2/F93</f>
        <v>7316.2</v>
      </c>
      <c r="I93" s="60">
        <f>F93*H93</f>
        <v>7316.2</v>
      </c>
      <c r="J93" s="13" t="s">
        <v>182</v>
      </c>
      <c r="L93" s="2"/>
    </row>
    <row r="94" spans="1:12" ht="18.75" x14ac:dyDescent="0.25">
      <c r="A94" s="9"/>
      <c r="B94" s="8"/>
      <c r="C94" s="4"/>
      <c r="D94" s="15" t="s">
        <v>165</v>
      </c>
      <c r="E94" s="40" t="s">
        <v>136</v>
      </c>
      <c r="F94" s="40">
        <f>1</f>
        <v>1</v>
      </c>
      <c r="G94" s="13" t="s">
        <v>144</v>
      </c>
      <c r="H94" s="40">
        <f>535.4/F94</f>
        <v>535.4</v>
      </c>
      <c r="I94" s="60">
        <f>F94*H94</f>
        <v>535.4</v>
      </c>
      <c r="J94" s="13" t="s">
        <v>121</v>
      </c>
      <c r="L94" s="2"/>
    </row>
    <row r="95" spans="1:12" ht="18.75" x14ac:dyDescent="0.25">
      <c r="A95" s="9"/>
      <c r="B95" s="8"/>
      <c r="C95" s="4"/>
      <c r="D95" s="15" t="s">
        <v>156</v>
      </c>
      <c r="E95" s="40" t="s">
        <v>136</v>
      </c>
      <c r="F95" s="40">
        <f>2</f>
        <v>2</v>
      </c>
      <c r="G95" s="13" t="s">
        <v>144</v>
      </c>
      <c r="H95" s="40">
        <f>1919.4/F95</f>
        <v>959.7</v>
      </c>
      <c r="I95" s="60">
        <f>F95*H95</f>
        <v>1919.4</v>
      </c>
      <c r="J95" s="13" t="s">
        <v>121</v>
      </c>
      <c r="L95" s="2"/>
    </row>
    <row r="96" spans="1:12" ht="18.75" x14ac:dyDescent="0.25">
      <c r="A96" s="9" t="s">
        <v>83</v>
      </c>
      <c r="B96" s="8"/>
      <c r="C96" s="4"/>
      <c r="D96" s="15" t="s">
        <v>69</v>
      </c>
      <c r="E96" s="40" t="s">
        <v>136</v>
      </c>
      <c r="F96" s="40" t="s">
        <v>136</v>
      </c>
      <c r="G96" s="14" t="s">
        <v>54</v>
      </c>
      <c r="H96" s="40" t="s">
        <v>136</v>
      </c>
      <c r="I96" s="40" t="s">
        <v>136</v>
      </c>
      <c r="J96" s="13"/>
      <c r="L96" s="2"/>
    </row>
    <row r="97" spans="1:12" ht="18.75" x14ac:dyDescent="0.25">
      <c r="A97" s="9"/>
      <c r="B97" s="8"/>
      <c r="C97" s="4"/>
      <c r="D97" s="15" t="s">
        <v>198</v>
      </c>
      <c r="E97" s="40"/>
      <c r="F97" s="40">
        <f>1</f>
        <v>1</v>
      </c>
      <c r="G97" s="14" t="s">
        <v>31</v>
      </c>
      <c r="H97" s="40">
        <f>2520.6/F97</f>
        <v>2520.6</v>
      </c>
      <c r="I97" s="60">
        <f>F97*H97</f>
        <v>2520.6</v>
      </c>
      <c r="J97" s="13" t="s">
        <v>177</v>
      </c>
      <c r="L97" s="2"/>
    </row>
    <row r="98" spans="1:12" ht="31.5" x14ac:dyDescent="0.25">
      <c r="A98" s="9"/>
      <c r="B98" s="8"/>
      <c r="C98" s="4"/>
      <c r="D98" s="15" t="s">
        <v>207</v>
      </c>
      <c r="E98" s="40" t="s">
        <v>136</v>
      </c>
      <c r="F98" s="40">
        <f>1+3+8+1</f>
        <v>13</v>
      </c>
      <c r="G98" s="13" t="s">
        <v>31</v>
      </c>
      <c r="H98" s="43">
        <f>(1230.4+3821.4+11041.4+4321.6)/F98</f>
        <v>1570.3692307692311</v>
      </c>
      <c r="I98" s="53">
        <f>F98*H98</f>
        <v>20414.800000000003</v>
      </c>
      <c r="J98" s="13" t="s">
        <v>121</v>
      </c>
      <c r="L98" s="2"/>
    </row>
    <row r="99" spans="1:12" ht="31.5" x14ac:dyDescent="0.25">
      <c r="A99" s="9" t="s">
        <v>21</v>
      </c>
      <c r="B99" s="8"/>
      <c r="C99" s="4"/>
      <c r="D99" s="15" t="s">
        <v>70</v>
      </c>
      <c r="E99" s="40" t="s">
        <v>136</v>
      </c>
      <c r="F99" s="40" t="s">
        <v>136</v>
      </c>
      <c r="G99" s="14" t="s">
        <v>54</v>
      </c>
      <c r="H99" s="40" t="s">
        <v>136</v>
      </c>
      <c r="I99" s="40" t="s">
        <v>136</v>
      </c>
      <c r="J99" s="13"/>
      <c r="L99" s="2"/>
    </row>
    <row r="100" spans="1:12" ht="18.75" x14ac:dyDescent="0.25">
      <c r="A100" s="46"/>
      <c r="B100" s="47"/>
      <c r="C100" s="22"/>
      <c r="D100" s="30"/>
      <c r="E100" s="45"/>
      <c r="F100" s="45"/>
      <c r="G100" s="12"/>
      <c r="H100" s="40"/>
      <c r="I100" s="43">
        <f>SUM(I89:I99)</f>
        <v>54279.933333333342</v>
      </c>
      <c r="J100" s="13"/>
      <c r="L100" s="2"/>
    </row>
    <row r="101" spans="1:12" ht="18.75" x14ac:dyDescent="0.3">
      <c r="A101" s="67" t="s">
        <v>73</v>
      </c>
      <c r="B101" s="68"/>
      <c r="C101" s="68"/>
      <c r="D101" s="68"/>
      <c r="E101" s="68"/>
      <c r="F101" s="68"/>
      <c r="G101" s="69"/>
      <c r="H101" s="19"/>
      <c r="I101" s="5"/>
      <c r="J101" s="13"/>
      <c r="L101" s="2"/>
    </row>
    <row r="102" spans="1:12" ht="37.5" x14ac:dyDescent="0.25">
      <c r="A102" s="9" t="s">
        <v>98</v>
      </c>
      <c r="B102" s="8"/>
      <c r="C102" s="4"/>
      <c r="D102" s="4" t="s">
        <v>127</v>
      </c>
      <c r="E102" s="31"/>
      <c r="F102" s="13">
        <f>7+7+4+4+8+2+6+4+34+9</f>
        <v>85</v>
      </c>
      <c r="G102" s="13" t="s">
        <v>116</v>
      </c>
      <c r="H102" s="33">
        <f>(4915.6+4915.6+2808.4+2828+5651.6+1412.8+4405.2+2937+2202+2972.8+6689.8)/F102/3</f>
        <v>163.68156862745099</v>
      </c>
      <c r="I102" s="33">
        <f>F102*H102</f>
        <v>13912.933333333334</v>
      </c>
      <c r="J102" s="13" t="s">
        <v>119</v>
      </c>
      <c r="L102" s="2"/>
    </row>
    <row r="103" spans="1:12" ht="31.5" x14ac:dyDescent="0.25">
      <c r="A103" s="9"/>
      <c r="B103" s="8"/>
      <c r="C103" s="4"/>
      <c r="D103" s="15" t="s">
        <v>120</v>
      </c>
      <c r="E103" s="40"/>
      <c r="F103" s="40"/>
      <c r="G103" s="13" t="s">
        <v>30</v>
      </c>
      <c r="H103" s="40"/>
      <c r="I103" s="40" t="s">
        <v>136</v>
      </c>
      <c r="J103" s="13"/>
      <c r="L103" s="2"/>
    </row>
    <row r="104" spans="1:12" ht="18.75" x14ac:dyDescent="0.25">
      <c r="A104" s="9"/>
      <c r="B104" s="8"/>
      <c r="C104" s="4"/>
      <c r="D104" s="4" t="s">
        <v>115</v>
      </c>
      <c r="E104" s="40"/>
      <c r="F104" s="40">
        <f>3+12+5+3+3+6+3</f>
        <v>35</v>
      </c>
      <c r="G104" s="13" t="s">
        <v>30</v>
      </c>
      <c r="H104" s="43">
        <f>(1004+4010+1669.8+1018.6+1018.6+2123.4+1061.4)/F104</f>
        <v>340.16571428571427</v>
      </c>
      <c r="I104" s="40">
        <f>F104*H104</f>
        <v>11905.8</v>
      </c>
      <c r="J104" s="13" t="s">
        <v>119</v>
      </c>
      <c r="L104" s="2"/>
    </row>
    <row r="105" spans="1:12" ht="18.75" x14ac:dyDescent="0.25">
      <c r="A105" s="9"/>
      <c r="B105" s="8"/>
      <c r="C105" s="4"/>
      <c r="D105" s="4" t="s">
        <v>147</v>
      </c>
      <c r="E105" s="40"/>
      <c r="F105" s="40"/>
      <c r="G105" s="13" t="s">
        <v>30</v>
      </c>
      <c r="H105" s="40"/>
      <c r="I105" s="40" t="s">
        <v>136</v>
      </c>
      <c r="J105" s="13"/>
      <c r="L105" s="2"/>
    </row>
    <row r="106" spans="1:12" ht="18.75" x14ac:dyDescent="0.25">
      <c r="A106" s="9"/>
      <c r="B106" s="8"/>
      <c r="C106" s="4"/>
      <c r="D106" s="4" t="s">
        <v>162</v>
      </c>
      <c r="E106" s="40"/>
      <c r="F106" s="40">
        <f>20+20+12</f>
        <v>52</v>
      </c>
      <c r="G106" s="13" t="s">
        <v>133</v>
      </c>
      <c r="H106" s="43">
        <f>(1304+1311+826.4)/F106</f>
        <v>66.180769230769229</v>
      </c>
      <c r="I106" s="40">
        <f>F106*H106</f>
        <v>3441.4</v>
      </c>
      <c r="J106" s="13" t="s">
        <v>119</v>
      </c>
      <c r="L106" s="2"/>
    </row>
    <row r="107" spans="1:12" ht="18.75" x14ac:dyDescent="0.25">
      <c r="A107" s="9"/>
      <c r="B107" s="8"/>
      <c r="C107" s="4"/>
      <c r="D107" s="4" t="s">
        <v>163</v>
      </c>
      <c r="E107" s="40" t="s">
        <v>136</v>
      </c>
      <c r="F107" s="40" t="s">
        <v>136</v>
      </c>
      <c r="G107" s="13" t="s">
        <v>133</v>
      </c>
      <c r="H107" s="40"/>
      <c r="I107" s="40" t="s">
        <v>136</v>
      </c>
      <c r="J107" s="13"/>
      <c r="L107" s="2"/>
    </row>
    <row r="108" spans="1:12" ht="18.75" x14ac:dyDescent="0.25">
      <c r="A108" s="9" t="s">
        <v>22</v>
      </c>
      <c r="B108" s="8"/>
      <c r="C108" s="4"/>
      <c r="D108" s="4" t="s">
        <v>76</v>
      </c>
      <c r="E108" s="40" t="s">
        <v>136</v>
      </c>
      <c r="F108" s="40" t="s">
        <v>136</v>
      </c>
      <c r="G108" s="13" t="s">
        <v>30</v>
      </c>
      <c r="H108" s="40" t="s">
        <v>136</v>
      </c>
      <c r="I108" s="40" t="s">
        <v>136</v>
      </c>
      <c r="J108" s="13"/>
      <c r="L108" s="2"/>
    </row>
    <row r="109" spans="1:12" ht="18.75" x14ac:dyDescent="0.25">
      <c r="A109" s="46"/>
      <c r="B109" s="47"/>
      <c r="C109" s="22"/>
      <c r="D109" s="22"/>
      <c r="E109" s="45"/>
      <c r="F109" s="45"/>
      <c r="G109" s="31"/>
      <c r="H109" s="40"/>
      <c r="I109" s="43">
        <f>SUM(I102:I108)</f>
        <v>29260.133333333335</v>
      </c>
      <c r="J109" s="13"/>
      <c r="L109" s="2"/>
    </row>
    <row r="110" spans="1:12" ht="18.75" x14ac:dyDescent="0.3">
      <c r="A110" s="67" t="s">
        <v>78</v>
      </c>
      <c r="B110" s="68"/>
      <c r="C110" s="68"/>
      <c r="D110" s="68"/>
      <c r="E110" s="68"/>
      <c r="F110" s="68"/>
      <c r="G110" s="69"/>
      <c r="H110" s="5"/>
      <c r="I110" s="5"/>
      <c r="J110" s="13"/>
      <c r="L110" s="2"/>
    </row>
    <row r="111" spans="1:12" ht="38.25" customHeight="1" x14ac:dyDescent="0.25">
      <c r="A111" s="9" t="s">
        <v>23</v>
      </c>
      <c r="B111" s="5"/>
      <c r="C111" s="4"/>
      <c r="D111" s="15" t="s">
        <v>137</v>
      </c>
      <c r="E111" s="40" t="s">
        <v>136</v>
      </c>
      <c r="F111" s="40" t="s">
        <v>136</v>
      </c>
      <c r="G111" s="13" t="s">
        <v>54</v>
      </c>
      <c r="H111" s="40" t="s">
        <v>136</v>
      </c>
      <c r="I111" s="40" t="s">
        <v>136</v>
      </c>
      <c r="J111" s="13"/>
      <c r="L111" s="2"/>
    </row>
    <row r="112" spans="1:12" ht="18.75" x14ac:dyDescent="0.25">
      <c r="A112" s="9" t="s">
        <v>24</v>
      </c>
      <c r="B112" s="5"/>
      <c r="C112" s="4"/>
      <c r="D112" s="4" t="s">
        <v>77</v>
      </c>
      <c r="E112" s="40" t="s">
        <v>136</v>
      </c>
      <c r="F112" s="40" t="s">
        <v>136</v>
      </c>
      <c r="G112" s="13" t="s">
        <v>54</v>
      </c>
      <c r="H112" s="40" t="s">
        <v>136</v>
      </c>
      <c r="I112" s="40" t="s">
        <v>136</v>
      </c>
      <c r="J112" s="13"/>
      <c r="L112" s="2"/>
    </row>
    <row r="113" spans="1:12" ht="31.5" x14ac:dyDescent="0.25">
      <c r="A113" s="9" t="s">
        <v>124</v>
      </c>
      <c r="B113" s="5"/>
      <c r="C113" s="4"/>
      <c r="D113" s="15" t="s">
        <v>142</v>
      </c>
      <c r="E113" s="40" t="s">
        <v>136</v>
      </c>
      <c r="F113" s="40" t="s">
        <v>136</v>
      </c>
      <c r="G113" s="13" t="s">
        <v>54</v>
      </c>
      <c r="H113" s="40" t="s">
        <v>136</v>
      </c>
      <c r="I113" s="40" t="s">
        <v>136</v>
      </c>
      <c r="J113" s="13"/>
      <c r="L113" s="2"/>
    </row>
    <row r="114" spans="1:12" ht="31.5" x14ac:dyDescent="0.25">
      <c r="A114" s="9"/>
      <c r="B114" s="5"/>
      <c r="C114" s="4"/>
      <c r="D114" s="15" t="s">
        <v>208</v>
      </c>
      <c r="E114" s="40" t="s">
        <v>136</v>
      </c>
      <c r="F114" s="40">
        <f>1</f>
        <v>1</v>
      </c>
      <c r="G114" s="13" t="s">
        <v>31</v>
      </c>
      <c r="H114" s="40">
        <f>5430.6/F114</f>
        <v>5430.6</v>
      </c>
      <c r="I114" s="53">
        <f>F114*H114</f>
        <v>5430.6</v>
      </c>
      <c r="J114" s="13" t="s">
        <v>182</v>
      </c>
      <c r="L114" s="2"/>
    </row>
    <row r="115" spans="1:12" ht="18.75" x14ac:dyDescent="0.25">
      <c r="A115" s="9"/>
      <c r="B115" s="5"/>
      <c r="C115" s="4"/>
      <c r="D115" s="15" t="s">
        <v>161</v>
      </c>
      <c r="E115" s="40"/>
      <c r="F115" s="40">
        <f>3+6+2+4</f>
        <v>15</v>
      </c>
      <c r="G115" s="13" t="s">
        <v>54</v>
      </c>
      <c r="H115" s="43">
        <f>(236.6+485.4+164.8+328.8)/F115</f>
        <v>81.039999999999992</v>
      </c>
      <c r="I115" s="40">
        <f>F115*H115</f>
        <v>1215.5999999999999</v>
      </c>
      <c r="J115" s="13" t="s">
        <v>119</v>
      </c>
      <c r="L115" s="2"/>
    </row>
    <row r="116" spans="1:12" ht="18.75" x14ac:dyDescent="0.25">
      <c r="A116" s="9"/>
      <c r="B116" s="5"/>
      <c r="C116" s="4"/>
      <c r="D116" s="15" t="s">
        <v>107</v>
      </c>
      <c r="E116" s="32"/>
      <c r="F116" s="13">
        <f>1+2+1+9+1+9+1</f>
        <v>24</v>
      </c>
      <c r="G116" s="13" t="s">
        <v>54</v>
      </c>
      <c r="H116" s="33">
        <f>(164+327.2+170+1545+172+1545+172)/1</f>
        <v>4095.2</v>
      </c>
      <c r="I116" s="13">
        <f t="shared" ref="I116" si="6">F116*H116</f>
        <v>98284.799999999988</v>
      </c>
      <c r="J116" s="13" t="s">
        <v>180</v>
      </c>
      <c r="L116" s="2"/>
    </row>
    <row r="117" spans="1:12" ht="18.75" x14ac:dyDescent="0.25">
      <c r="A117" s="9"/>
      <c r="B117" s="5"/>
      <c r="C117" s="4"/>
      <c r="D117" s="15" t="s">
        <v>210</v>
      </c>
      <c r="E117" s="32"/>
      <c r="F117" s="31">
        <f>2</f>
        <v>2</v>
      </c>
      <c r="G117" s="13" t="s">
        <v>31</v>
      </c>
      <c r="H117" s="52">
        <f>803.2/F117</f>
        <v>401.6</v>
      </c>
      <c r="I117" s="62">
        <f>F117*H117</f>
        <v>803.2</v>
      </c>
      <c r="J117" s="13" t="s">
        <v>182</v>
      </c>
      <c r="L117" s="2"/>
    </row>
    <row r="118" spans="1:12" ht="56.25" x14ac:dyDescent="0.25">
      <c r="A118" s="9" t="s">
        <v>108</v>
      </c>
      <c r="B118" s="5"/>
      <c r="C118" s="4"/>
      <c r="D118" s="15" t="s">
        <v>122</v>
      </c>
      <c r="E118" s="32"/>
      <c r="F118" s="13">
        <f>20+20+20+20+20+20+20+20+20+20+20+20</f>
        <v>240</v>
      </c>
      <c r="G118" s="13" t="s">
        <v>109</v>
      </c>
      <c r="H118" s="33">
        <f>(882.2+878.2+878.2+878.2+882.2+882.2+916+916+916+929.2+929.2+929.2)/F118</f>
        <v>45.070000000000007</v>
      </c>
      <c r="I118" s="13">
        <f>F118*H118</f>
        <v>10816.800000000001</v>
      </c>
      <c r="J118" s="13" t="s">
        <v>119</v>
      </c>
      <c r="L118" s="2"/>
    </row>
    <row r="119" spans="1:12" ht="18.75" x14ac:dyDescent="0.25">
      <c r="A119" s="46"/>
      <c r="B119" s="22"/>
      <c r="C119" s="22"/>
      <c r="D119" s="30"/>
      <c r="E119" s="48"/>
      <c r="F119" s="49"/>
      <c r="G119" s="31"/>
      <c r="H119" s="31"/>
      <c r="I119" s="13">
        <f>SUM(I114:I118)</f>
        <v>116550.99999999999</v>
      </c>
      <c r="J119" s="13"/>
      <c r="L119" s="2"/>
    </row>
    <row r="120" spans="1:12" ht="18.75" x14ac:dyDescent="0.25">
      <c r="A120" s="74" t="s">
        <v>91</v>
      </c>
      <c r="B120" s="75"/>
      <c r="C120" s="75"/>
      <c r="D120" s="75"/>
      <c r="E120" s="75"/>
      <c r="F120" s="75"/>
      <c r="G120" s="76"/>
      <c r="H120" s="12"/>
      <c r="I120" s="5"/>
      <c r="J120" s="13"/>
      <c r="L120" s="2"/>
    </row>
    <row r="121" spans="1:12" ht="18.75" x14ac:dyDescent="0.25">
      <c r="A121" s="26"/>
      <c r="B121" s="27"/>
      <c r="C121" s="27"/>
      <c r="D121" s="36" t="s">
        <v>117</v>
      </c>
      <c r="E121" s="40"/>
      <c r="F121" s="40"/>
      <c r="G121" s="37" t="s">
        <v>31</v>
      </c>
      <c r="H121" s="40"/>
      <c r="I121" s="40"/>
      <c r="J121" s="13"/>
      <c r="L121" s="2"/>
    </row>
    <row r="122" spans="1:12" ht="63" x14ac:dyDescent="0.25">
      <c r="A122" s="9" t="s">
        <v>89</v>
      </c>
      <c r="B122" s="22"/>
      <c r="C122" s="22"/>
      <c r="D122" s="23" t="s">
        <v>118</v>
      </c>
      <c r="E122" s="51" t="s">
        <v>136</v>
      </c>
      <c r="F122" s="40" t="s">
        <v>136</v>
      </c>
      <c r="G122" s="31" t="s">
        <v>90</v>
      </c>
      <c r="H122" s="40" t="s">
        <v>136</v>
      </c>
      <c r="I122" s="40" t="s">
        <v>136</v>
      </c>
      <c r="J122" s="13"/>
      <c r="L122" s="2"/>
    </row>
    <row r="123" spans="1:12" ht="18.75" x14ac:dyDescent="0.25">
      <c r="A123" s="46"/>
      <c r="B123" s="22"/>
      <c r="C123" s="22"/>
      <c r="D123" s="30"/>
      <c r="E123" s="45"/>
      <c r="F123" s="45"/>
      <c r="G123" s="31"/>
      <c r="H123" s="40"/>
      <c r="I123" s="40">
        <f>SUM(I121:I122)</f>
        <v>0</v>
      </c>
      <c r="J123" s="13"/>
      <c r="L123" s="2"/>
    </row>
    <row r="124" spans="1:12" ht="18.75" x14ac:dyDescent="0.3">
      <c r="A124" s="67" t="s">
        <v>79</v>
      </c>
      <c r="B124" s="68"/>
      <c r="C124" s="68"/>
      <c r="D124" s="68"/>
      <c r="E124" s="68"/>
      <c r="F124" s="68"/>
      <c r="G124" s="69"/>
      <c r="H124" s="19"/>
      <c r="I124" s="5"/>
      <c r="J124" s="13"/>
      <c r="L124" s="2"/>
    </row>
    <row r="125" spans="1:12" ht="46.5" customHeight="1" x14ac:dyDescent="0.3">
      <c r="A125" s="34" t="s">
        <v>129</v>
      </c>
      <c r="B125" s="24"/>
      <c r="C125" s="24"/>
      <c r="D125" s="35" t="s">
        <v>128</v>
      </c>
      <c r="E125" s="40" t="s">
        <v>136</v>
      </c>
      <c r="F125" s="40" t="s">
        <v>136</v>
      </c>
      <c r="G125" s="13" t="s">
        <v>135</v>
      </c>
      <c r="H125" s="40" t="s">
        <v>136</v>
      </c>
      <c r="I125" s="40" t="s">
        <v>136</v>
      </c>
      <c r="J125" s="13"/>
      <c r="L125" s="2"/>
    </row>
    <row r="126" spans="1:12" ht="18.75" x14ac:dyDescent="0.25">
      <c r="A126" s="9" t="s">
        <v>25</v>
      </c>
      <c r="B126" s="5"/>
      <c r="C126" s="4"/>
      <c r="D126" s="4" t="s">
        <v>75</v>
      </c>
      <c r="E126" s="40" t="s">
        <v>136</v>
      </c>
      <c r="F126" s="40" t="s">
        <v>136</v>
      </c>
      <c r="G126" s="14" t="s">
        <v>54</v>
      </c>
      <c r="H126" s="40" t="s">
        <v>136</v>
      </c>
      <c r="I126" s="40" t="s">
        <v>136</v>
      </c>
      <c r="J126" s="13"/>
      <c r="L126" s="2"/>
    </row>
    <row r="127" spans="1:12" ht="47.25" x14ac:dyDescent="0.25">
      <c r="A127" s="9" t="s">
        <v>26</v>
      </c>
      <c r="B127" s="5"/>
      <c r="C127" s="4"/>
      <c r="D127" s="15" t="s">
        <v>28</v>
      </c>
      <c r="E127" s="40" t="s">
        <v>136</v>
      </c>
      <c r="F127" s="40" t="s">
        <v>136</v>
      </c>
      <c r="G127" s="14" t="s">
        <v>54</v>
      </c>
      <c r="H127" s="40" t="s">
        <v>136</v>
      </c>
      <c r="I127" s="40" t="s">
        <v>136</v>
      </c>
      <c r="J127" s="13"/>
      <c r="L127" s="2"/>
    </row>
    <row r="128" spans="1:12" ht="31.5" x14ac:dyDescent="0.25">
      <c r="A128" s="9" t="s">
        <v>27</v>
      </c>
      <c r="B128" s="5"/>
      <c r="C128" s="4"/>
      <c r="D128" s="15" t="s">
        <v>74</v>
      </c>
      <c r="E128" s="40" t="s">
        <v>136</v>
      </c>
      <c r="F128" s="40">
        <f>1</f>
        <v>1</v>
      </c>
      <c r="G128" s="14" t="s">
        <v>138</v>
      </c>
      <c r="H128" s="40">
        <f>15000/F128</f>
        <v>15000</v>
      </c>
      <c r="I128" s="60">
        <f>H128</f>
        <v>15000</v>
      </c>
      <c r="J128" s="13" t="s">
        <v>209</v>
      </c>
      <c r="L128" s="2"/>
    </row>
    <row r="129" spans="1:12" ht="18.75" x14ac:dyDescent="0.3">
      <c r="A129" s="67" t="s">
        <v>84</v>
      </c>
      <c r="B129" s="68"/>
      <c r="C129" s="68"/>
      <c r="D129" s="68"/>
      <c r="E129" s="68"/>
      <c r="F129" s="68"/>
      <c r="G129" s="69"/>
      <c r="H129" s="2"/>
      <c r="I129" s="2"/>
      <c r="J129" s="2"/>
      <c r="K129" s="2"/>
      <c r="L129" s="2"/>
    </row>
    <row r="130" spans="1:12" ht="48" x14ac:dyDescent="0.3">
      <c r="A130" s="6" t="s">
        <v>66</v>
      </c>
      <c r="B130" s="6"/>
      <c r="C130" s="4"/>
      <c r="D130" s="15" t="s">
        <v>85</v>
      </c>
      <c r="E130" s="40" t="s">
        <v>136</v>
      </c>
      <c r="F130" s="40">
        <f>50.9</f>
        <v>50.9</v>
      </c>
      <c r="G130" s="13" t="s">
        <v>114</v>
      </c>
      <c r="H130" s="43">
        <f>38731/F130</f>
        <v>760.9233791748527</v>
      </c>
      <c r="I130" s="60">
        <f>F130*H130</f>
        <v>38731</v>
      </c>
      <c r="J130" s="13" t="s">
        <v>121</v>
      </c>
      <c r="L130" s="2"/>
    </row>
    <row r="131" spans="1:12" ht="32.25" x14ac:dyDescent="0.3">
      <c r="A131" s="28"/>
      <c r="B131" s="29"/>
      <c r="C131" s="22"/>
      <c r="D131" s="30" t="s">
        <v>110</v>
      </c>
      <c r="E131" s="40" t="s">
        <v>136</v>
      </c>
      <c r="F131" s="40" t="s">
        <v>136</v>
      </c>
      <c r="G131" s="13" t="s">
        <v>111</v>
      </c>
      <c r="H131" s="40" t="s">
        <v>136</v>
      </c>
      <c r="I131" s="40" t="s">
        <v>136</v>
      </c>
      <c r="J131" s="38"/>
      <c r="L131" s="2"/>
    </row>
    <row r="132" spans="1:12" ht="18.75" x14ac:dyDescent="0.3">
      <c r="A132" s="67" t="s">
        <v>99</v>
      </c>
      <c r="B132" s="68"/>
      <c r="C132" s="68"/>
      <c r="D132" s="68"/>
      <c r="E132" s="68"/>
      <c r="F132" s="68"/>
      <c r="G132" s="69"/>
      <c r="H132" s="67"/>
      <c r="I132" s="68"/>
      <c r="J132" s="68"/>
      <c r="L132" s="2"/>
    </row>
    <row r="133" spans="1:12" ht="32.25" x14ac:dyDescent="0.3">
      <c r="A133" s="34" t="s">
        <v>141</v>
      </c>
      <c r="B133" s="24"/>
      <c r="C133" s="24"/>
      <c r="D133" s="39" t="s">
        <v>130</v>
      </c>
      <c r="E133" s="13"/>
      <c r="F133" s="13"/>
      <c r="G133" s="13" t="s">
        <v>131</v>
      </c>
      <c r="H133" s="13"/>
      <c r="I133" s="54"/>
      <c r="J133" s="13"/>
      <c r="L133" s="2"/>
    </row>
    <row r="134" spans="1:12" ht="48" x14ac:dyDescent="0.3">
      <c r="A134" s="24"/>
      <c r="B134" s="24"/>
      <c r="C134" s="24"/>
      <c r="D134" s="39" t="s">
        <v>132</v>
      </c>
      <c r="E134" s="40"/>
      <c r="F134" s="40">
        <f>40</f>
        <v>40</v>
      </c>
      <c r="G134" s="13" t="s">
        <v>133</v>
      </c>
      <c r="H134" s="40">
        <f>28000/F134</f>
        <v>700</v>
      </c>
      <c r="I134" s="55">
        <f>F134*H134</f>
        <v>28000</v>
      </c>
      <c r="J134" s="13" t="s">
        <v>172</v>
      </c>
      <c r="L134" s="2"/>
    </row>
    <row r="135" spans="1:12" ht="32.25" x14ac:dyDescent="0.3">
      <c r="A135" s="24"/>
      <c r="B135" s="24"/>
      <c r="C135" s="24"/>
      <c r="D135" s="39" t="s">
        <v>173</v>
      </c>
      <c r="E135" s="13"/>
      <c r="F135" s="13">
        <f>100+120</f>
        <v>220</v>
      </c>
      <c r="G135" s="13" t="s">
        <v>134</v>
      </c>
      <c r="H135" s="33">
        <f>(4583+5500)/F135</f>
        <v>45.831818181818178</v>
      </c>
      <c r="I135" s="54">
        <f t="shared" ref="I135:I136" si="7">F135*H135</f>
        <v>10083</v>
      </c>
      <c r="J135" s="13" t="s">
        <v>172</v>
      </c>
      <c r="L135" s="2"/>
    </row>
    <row r="136" spans="1:12" ht="32.25" x14ac:dyDescent="0.3">
      <c r="A136" s="24"/>
      <c r="B136" s="24"/>
      <c r="C136" s="24"/>
      <c r="D136" s="39" t="s">
        <v>174</v>
      </c>
      <c r="E136" s="13"/>
      <c r="F136" s="13">
        <f>60+230+30</f>
        <v>320</v>
      </c>
      <c r="G136" s="13" t="s">
        <v>134</v>
      </c>
      <c r="H136" s="33">
        <f>(2750+10541+1375)/F136</f>
        <v>45.831249999999997</v>
      </c>
      <c r="I136" s="54">
        <f t="shared" si="7"/>
        <v>14666</v>
      </c>
      <c r="J136" s="13" t="s">
        <v>172</v>
      </c>
      <c r="L136" s="2"/>
    </row>
    <row r="137" spans="1:12" ht="18.75" x14ac:dyDescent="0.3">
      <c r="A137" s="24"/>
      <c r="B137" s="24"/>
      <c r="C137" s="24"/>
      <c r="D137" s="39" t="s">
        <v>203</v>
      </c>
      <c r="E137" s="40" t="s">
        <v>136</v>
      </c>
      <c r="F137" s="40">
        <f>6</f>
        <v>6</v>
      </c>
      <c r="G137" s="13" t="s">
        <v>114</v>
      </c>
      <c r="H137" s="40">
        <f>28901.4/F137</f>
        <v>4816.9000000000005</v>
      </c>
      <c r="I137" s="53">
        <f t="shared" ref="I137:I142" si="8">F137*H137</f>
        <v>28901.4</v>
      </c>
      <c r="J137" s="13" t="s">
        <v>182</v>
      </c>
      <c r="L137" s="2"/>
    </row>
    <row r="138" spans="1:12" ht="48" x14ac:dyDescent="0.3">
      <c r="A138" s="24"/>
      <c r="B138" s="24"/>
      <c r="C138" s="24"/>
      <c r="D138" s="39" t="s">
        <v>181</v>
      </c>
      <c r="E138" s="40"/>
      <c r="F138" s="40">
        <f>15</f>
        <v>15</v>
      </c>
      <c r="G138" s="13" t="s">
        <v>114</v>
      </c>
      <c r="H138" s="43">
        <f>9441.4/F138</f>
        <v>629.42666666666662</v>
      </c>
      <c r="I138" s="53">
        <f t="shared" si="8"/>
        <v>9441.4</v>
      </c>
      <c r="J138" s="13" t="s">
        <v>121</v>
      </c>
      <c r="L138" s="2"/>
    </row>
    <row r="139" spans="1:12" ht="18.75" x14ac:dyDescent="0.3">
      <c r="A139" s="24"/>
      <c r="B139" s="24"/>
      <c r="C139" s="24"/>
      <c r="D139" s="39" t="s">
        <v>191</v>
      </c>
      <c r="E139" s="40"/>
      <c r="F139" s="40">
        <v>1.5</v>
      </c>
      <c r="G139" s="13" t="s">
        <v>114</v>
      </c>
      <c r="H139" s="43">
        <f>15910/F139</f>
        <v>10606.666666666666</v>
      </c>
      <c r="I139" s="53">
        <f t="shared" si="8"/>
        <v>15910</v>
      </c>
      <c r="J139" s="13" t="s">
        <v>121</v>
      </c>
      <c r="L139" s="2"/>
    </row>
    <row r="140" spans="1:12" ht="32.25" x14ac:dyDescent="0.3">
      <c r="A140" s="34" t="s">
        <v>151</v>
      </c>
      <c r="B140" s="14"/>
      <c r="C140" s="14"/>
      <c r="D140" s="39" t="s">
        <v>189</v>
      </c>
      <c r="E140" s="40" t="s">
        <v>136</v>
      </c>
      <c r="F140" s="40">
        <v>1</v>
      </c>
      <c r="G140" s="13" t="s">
        <v>31</v>
      </c>
      <c r="H140" s="40">
        <f>25300/F140</f>
        <v>25300</v>
      </c>
      <c r="I140" s="53">
        <f t="shared" si="8"/>
        <v>25300</v>
      </c>
      <c r="J140" s="14" t="s">
        <v>177</v>
      </c>
      <c r="L140" s="2"/>
    </row>
    <row r="141" spans="1:12" ht="32.25" x14ac:dyDescent="0.3">
      <c r="A141" s="34"/>
      <c r="B141" s="14"/>
      <c r="C141" s="14"/>
      <c r="D141" s="39" t="s">
        <v>190</v>
      </c>
      <c r="E141" s="40" t="s">
        <v>136</v>
      </c>
      <c r="F141" s="40">
        <v>1</v>
      </c>
      <c r="G141" s="13" t="s">
        <v>31</v>
      </c>
      <c r="H141" s="40">
        <v>26700</v>
      </c>
      <c r="I141" s="53">
        <f t="shared" si="8"/>
        <v>26700</v>
      </c>
      <c r="J141" s="14" t="s">
        <v>177</v>
      </c>
      <c r="L141" s="2"/>
    </row>
    <row r="142" spans="1:12" ht="32.25" x14ac:dyDescent="0.3">
      <c r="A142" s="34"/>
      <c r="B142" s="14"/>
      <c r="C142" s="14"/>
      <c r="D142" s="39" t="s">
        <v>186</v>
      </c>
      <c r="E142" s="40"/>
      <c r="F142" s="40">
        <v>1</v>
      </c>
      <c r="G142" s="13" t="s">
        <v>31</v>
      </c>
      <c r="H142" s="43">
        <f>102/F142</f>
        <v>102</v>
      </c>
      <c r="I142" s="53">
        <f t="shared" si="8"/>
        <v>102</v>
      </c>
      <c r="J142" s="14" t="s">
        <v>119</v>
      </c>
      <c r="L142" s="2"/>
    </row>
    <row r="143" spans="1:12" ht="18.75" x14ac:dyDescent="0.3">
      <c r="A143" s="34"/>
      <c r="B143" s="14"/>
      <c r="C143" s="14"/>
      <c r="D143" s="39"/>
      <c r="E143" s="40"/>
      <c r="F143" s="40"/>
      <c r="G143" s="13"/>
      <c r="H143" s="43"/>
      <c r="I143" s="55">
        <f>SUM(I133:I142)</f>
        <v>159103.79999999999</v>
      </c>
      <c r="J143" s="14"/>
      <c r="L143" s="2"/>
    </row>
    <row r="144" spans="1:12" ht="15.75" x14ac:dyDescent="0.25">
      <c r="A144" s="57" t="s">
        <v>215</v>
      </c>
      <c r="B144" s="14"/>
      <c r="C144" s="14"/>
      <c r="D144" s="42"/>
      <c r="E144" s="14"/>
      <c r="F144" s="14"/>
      <c r="G144" s="37"/>
      <c r="H144" s="14"/>
      <c r="I144" s="58">
        <f>I6+I7+I20+I21+I24+I27+I28+I29+I30+I31+I32+I39+I45+I47+I48+I46+I65+I73+I74+I75+I76+I77+I78+I79+I80+I81+I84+I85+I90+I91+I92+I93+I94+I95+I97+I98+I114+I128+I130+I133+I134+I135+I136+I137+I138+I139+I140+I141+I142</f>
        <v>794072</v>
      </c>
      <c r="J144" s="14"/>
      <c r="L144" s="2"/>
    </row>
    <row r="145" spans="1:12" ht="15.75" x14ac:dyDescent="0.25">
      <c r="A145" s="50" t="s">
        <v>171</v>
      </c>
      <c r="B145" s="25"/>
      <c r="C145" s="25"/>
      <c r="D145" s="42"/>
      <c r="E145" s="13"/>
      <c r="F145" s="13"/>
      <c r="G145" s="37"/>
      <c r="H145" s="13"/>
      <c r="I145" s="59">
        <f>I16+I56+I68+I87+I100+I109+I119+I123+I144</f>
        <v>1570710.6</v>
      </c>
      <c r="J145" s="14"/>
      <c r="K145" s="2"/>
      <c r="L145" s="2"/>
    </row>
    <row r="146" spans="1:12" ht="99.75" customHeight="1" x14ac:dyDescent="0.25">
      <c r="A146" s="64" t="s">
        <v>106</v>
      </c>
      <c r="B146" s="64"/>
      <c r="C146" s="64"/>
      <c r="D146" s="64"/>
      <c r="E146" s="64"/>
      <c r="F146" s="64"/>
      <c r="G146" s="64"/>
      <c r="H146" s="64"/>
      <c r="I146" s="64"/>
      <c r="J146" s="64"/>
      <c r="K146" s="2"/>
      <c r="L146" s="2"/>
    </row>
    <row r="147" spans="1:12" ht="15.75" x14ac:dyDescent="0.25">
      <c r="A147" s="2"/>
      <c r="B147" s="2"/>
      <c r="C147" s="2"/>
      <c r="D147" s="16"/>
      <c r="E147" s="16"/>
      <c r="F147" s="2"/>
      <c r="G147" s="2"/>
      <c r="H147" s="2"/>
      <c r="I147" s="2"/>
      <c r="J147" s="2"/>
      <c r="K147" s="2"/>
      <c r="L147" s="2"/>
    </row>
    <row r="148" spans="1:12" ht="15.75" x14ac:dyDescent="0.25">
      <c r="A148" s="2"/>
      <c r="B148" s="2"/>
      <c r="C148" s="2"/>
      <c r="D148" s="16"/>
      <c r="E148" s="16"/>
      <c r="F148" s="2"/>
      <c r="G148" s="56"/>
      <c r="H148" s="2"/>
      <c r="I148" s="2"/>
      <c r="J148" s="2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56"/>
      <c r="H149" s="2"/>
      <c r="I149" s="56"/>
      <c r="J149" s="56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56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56"/>
      <c r="H151" s="2"/>
      <c r="I151" s="2"/>
      <c r="J151" s="2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2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2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</sheetData>
  <mergeCells count="16">
    <mergeCell ref="A146:J146"/>
    <mergeCell ref="A2:J2"/>
    <mergeCell ref="A132:G132"/>
    <mergeCell ref="H132:J132"/>
    <mergeCell ref="I1:J1"/>
    <mergeCell ref="A88:G88"/>
    <mergeCell ref="A110:G110"/>
    <mergeCell ref="A129:G129"/>
    <mergeCell ref="A43:G43"/>
    <mergeCell ref="A17:G17"/>
    <mergeCell ref="A4:G4"/>
    <mergeCell ref="A120:G120"/>
    <mergeCell ref="A57:G57"/>
    <mergeCell ref="A69:G69"/>
    <mergeCell ref="A101:G101"/>
    <mergeCell ref="A124:G124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2025-01-28T12:13:35Z</cp:lastPrinted>
  <dcterms:created xsi:type="dcterms:W3CDTF">2017-05-29T12:14:13Z</dcterms:created>
  <dcterms:modified xsi:type="dcterms:W3CDTF">2025-03-13T14:00:12Z</dcterms:modified>
</cp:coreProperties>
</file>