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35" i="1" l="1"/>
  <c r="F131" i="1" l="1"/>
  <c r="H131" i="1" s="1"/>
  <c r="F78" i="1"/>
  <c r="F88" i="1"/>
  <c r="H88" i="1" s="1"/>
  <c r="F97" i="1"/>
  <c r="H97" i="1" s="1"/>
  <c r="F112" i="1"/>
  <c r="H112" i="1" s="1"/>
  <c r="F110" i="1"/>
  <c r="H110" i="1" s="1"/>
  <c r="H78" i="1" l="1"/>
  <c r="I78" i="1" s="1"/>
  <c r="I88" i="1"/>
  <c r="H29" i="1"/>
  <c r="F99" i="1"/>
  <c r="H99" i="1" s="1"/>
  <c r="H43" i="1" l="1"/>
  <c r="I43" i="1" l="1"/>
  <c r="H5" i="1" l="1"/>
  <c r="H133" i="1"/>
  <c r="F69" i="1"/>
  <c r="H69" i="1" s="1"/>
  <c r="F68" i="1"/>
  <c r="H68" i="1" s="1"/>
  <c r="F65" i="1"/>
  <c r="H65" i="1" s="1"/>
  <c r="F98" i="1" l="1"/>
  <c r="F70" i="1"/>
  <c r="H70" i="1" s="1"/>
  <c r="F64" i="1"/>
  <c r="H64" i="1" s="1"/>
  <c r="F62" i="1"/>
  <c r="H62" i="1" s="1"/>
  <c r="F111" i="1"/>
  <c r="H111" i="1" s="1"/>
  <c r="H98" i="1" l="1"/>
  <c r="I98" i="1" s="1"/>
  <c r="I70" i="1"/>
  <c r="F73" i="1"/>
  <c r="H73" i="1" s="1"/>
  <c r="H67" i="1"/>
  <c r="I67" i="1" s="1"/>
  <c r="F66" i="1"/>
  <c r="H66" i="1" s="1"/>
  <c r="I68" i="1"/>
  <c r="I69" i="1"/>
  <c r="F63" i="1"/>
  <c r="H63" i="1" s="1"/>
  <c r="F84" i="1"/>
  <c r="H84" i="1" s="1"/>
  <c r="I63" i="1" l="1"/>
  <c r="I66" i="1"/>
  <c r="I65" i="1"/>
  <c r="F32" i="1"/>
  <c r="H32" i="1" s="1"/>
  <c r="I64" i="1"/>
  <c r="F71" i="1"/>
  <c r="H71" i="1" s="1"/>
  <c r="I32" i="1" l="1"/>
  <c r="F42" i="1"/>
  <c r="H42" i="1" s="1"/>
  <c r="F41" i="1"/>
  <c r="H44" i="1"/>
  <c r="F40" i="1"/>
  <c r="H40" i="1" s="1"/>
  <c r="H39" i="1"/>
  <c r="F52" i="1"/>
  <c r="H52" i="1" s="1"/>
  <c r="H120" i="1"/>
  <c r="I120" i="1" s="1"/>
  <c r="F55" i="1"/>
  <c r="H55" i="1" s="1"/>
  <c r="H54" i="1"/>
  <c r="I54" i="1" s="1"/>
  <c r="F109" i="1"/>
  <c r="H109" i="1" s="1"/>
  <c r="H107" i="1"/>
  <c r="F107" i="1"/>
  <c r="F93" i="1"/>
  <c r="H93" i="1" s="1"/>
  <c r="H91" i="1"/>
  <c r="I91" i="1" s="1"/>
  <c r="H90" i="1"/>
  <c r="I90" i="1" s="1"/>
  <c r="F89" i="1"/>
  <c r="H89" i="1" s="1"/>
  <c r="F81" i="1"/>
  <c r="H81" i="1" s="1"/>
  <c r="H80" i="1"/>
  <c r="I80" i="1" s="1"/>
  <c r="F79" i="1"/>
  <c r="H79" i="1" s="1"/>
  <c r="H115" i="1"/>
  <c r="I111" i="1"/>
  <c r="H6" i="1"/>
  <c r="F132" i="1"/>
  <c r="H132" i="1" s="1"/>
  <c r="I107" i="1" l="1"/>
  <c r="I81" i="1"/>
  <c r="H41" i="1"/>
  <c r="I41" i="1" s="1"/>
  <c r="I79" i="1"/>
  <c r="I89" i="1"/>
  <c r="I55" i="1"/>
  <c r="I42" i="1"/>
  <c r="I29" i="1"/>
  <c r="I109" i="1" l="1"/>
  <c r="I93" i="1" l="1"/>
  <c r="I6" i="1"/>
  <c r="I44" i="1"/>
  <c r="I84" i="1" l="1"/>
  <c r="I62" i="1" l="1"/>
  <c r="I86" i="1" l="1"/>
  <c r="F61" i="1"/>
  <c r="H61" i="1" s="1"/>
  <c r="F60" i="1"/>
  <c r="H60" i="1" s="1"/>
  <c r="I5" i="1" l="1"/>
  <c r="I52" i="1"/>
  <c r="I133" i="1"/>
  <c r="I40" i="1"/>
  <c r="I39" i="1"/>
  <c r="F129" i="1"/>
  <c r="H129" i="1" s="1"/>
  <c r="F59" i="1"/>
  <c r="H59" i="1" s="1"/>
  <c r="I131" i="1"/>
  <c r="I129" i="1"/>
  <c r="I56" i="1" l="1"/>
  <c r="I16" i="1"/>
  <c r="I132" i="1"/>
  <c r="I134" i="1" s="1"/>
  <c r="I71" i="1" l="1"/>
  <c r="I97" i="1"/>
  <c r="I61" i="1"/>
  <c r="I112" i="1"/>
  <c r="I37" i="1" l="1"/>
  <c r="I99" i="1"/>
  <c r="I101" i="1" s="1"/>
  <c r="I95" i="1" l="1"/>
  <c r="I115" i="1"/>
  <c r="I73" i="1" l="1"/>
  <c r="I126" i="1" l="1"/>
  <c r="I127" i="1" s="1"/>
  <c r="I59" i="1" l="1"/>
  <c r="I60" i="1" l="1"/>
  <c r="I76" i="1" s="1"/>
  <c r="I110" i="1"/>
  <c r="I113" i="1" s="1"/>
  <c r="I119" i="1" l="1"/>
  <c r="I123" i="1" s="1"/>
  <c r="I116" i="1"/>
  <c r="I117" i="1" s="1"/>
  <c r="I136" i="1" l="1"/>
</calcChain>
</file>

<file path=xl/sharedStrings.xml><?xml version="1.0" encoding="utf-8"?>
<sst xmlns="http://schemas.openxmlformats.org/spreadsheetml/2006/main" count="519" uniqueCount="201">
  <si>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</si>
  <si>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</si>
  <si>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</si>
  <si>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</si>
  <si>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</si>
  <si>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</si>
  <si>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</si>
  <si>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</si>
  <si>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</si>
  <si>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</si>
  <si>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</si>
  <si>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</si>
  <si>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</si>
  <si>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</si>
  <si>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</si>
  <si>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</si>
  <si>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</si>
  <si>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</si>
  <si>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</si>
  <si>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</si>
  <si>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</si>
  <si>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</si>
  <si>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</si>
  <si>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</si>
  <si>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</si>
  <si>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</si>
  <si>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</si>
  <si>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</si>
  <si>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</si>
  <si>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</si>
  <si>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</si>
  <si>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</si>
  <si>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</si>
  <si>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</si>
  <si>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</si>
  <si>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</si>
  <si>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</si>
  <si>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</si>
  <si>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</si>
  <si>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</si>
  <si>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</si>
  <si>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</si>
  <si>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</si>
  <si>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</si>
  <si>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</si>
  <si>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</si>
  <si>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</si>
  <si>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</si>
  <si>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</si>
  <si>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</si>
  <si>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</si>
  <si>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</si>
  <si>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</si>
  <si>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</si>
  <si>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</si>
  <si>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</si>
  <si>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</si>
  <si>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</si>
  <si>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</si>
  <si>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</si>
  <si>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</si>
  <si>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</si>
  <si>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</si>
  <si>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</si>
  <si>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</si>
  <si>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</si>
  <si>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</si>
  <si>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</si>
  <si>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</si>
  <si>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</si>
  <si>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</si>
  <si>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</si>
  <si>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</si>
  <si>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</si>
  <si>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</si>
  <si>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</si>
  <si>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</si>
  <si>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</si>
  <si>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</si>
  <si>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</si>
  <si>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</si>
  <si>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</si>
  <si>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</si>
  <si>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</si>
  <si>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</si>
  <si>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</si>
  <si>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</si>
  <si>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</si>
  <si>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</si>
  <si>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</si>
  <si>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</si>
  <si>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</si>
  <si>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</si>
  <si>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</si>
  <si>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</si>
  <si>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</si>
  <si>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</si>
  <si>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</si>
  <si>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</si>
  <si>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</si>
  <si>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</si>
  <si>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</si>
  <si>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</si>
  <si>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</si>
  <si>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</si>
  <si>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</si>
  <si>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</si>
  <si>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</si>
  <si>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</si>
  <si>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</si>
  <si>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</si>
  <si>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</si>
  <si>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</si>
  <si>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</si>
  <si>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</si>
  <si>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</si>
  <si>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</si>
  <si>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</si>
  <si>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</si>
  <si>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</si>
  <si>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</si>
  <si>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</si>
  <si>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</si>
  <si>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</si>
  <si>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</si>
  <si>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</si>
  <si>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</si>
  <si>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</si>
  <si>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</si>
  <si>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</si>
  <si>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</si>
  <si>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</si>
  <si>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</si>
  <si>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</si>
  <si>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</si>
  <si>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</si>
  <si>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</si>
  <si>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</si>
  <si>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</si>
  <si>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</si>
  <si>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</si>
  <si>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</si>
  <si>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</si>
  <si>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</si>
  <si>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</si>
  <si>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1 коробка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</si>
  <si>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</si>
  <si>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</si>
  <si>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</si>
  <si>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</si>
  <si>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</si>
  <si>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</si>
  <si>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</si>
  <si>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</si>
  <si>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</si>
  <si>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</si>
  <si>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ремонт приемного клапана мусоропровода</t>
  </si>
  <si>
    <t>смена вентилей и клапанов обратных муфтовых диам. до 20мм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</si>
  <si>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</si>
  <si>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</si>
  <si>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</si>
  <si>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</si>
  <si>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</si>
  <si>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</si>
  <si>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</si>
  <si>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</si>
  <si>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ремонт межпанельных швов без вскрытия</t>
  </si>
  <si>
    <t>смена выключателей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</si>
  <si>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</si>
  <si>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ремонт парапета на кровле подъезд №2</t>
  </si>
  <si>
    <t>ремонт ступеней бетонных</t>
  </si>
  <si>
    <t>смена выключателей нагрузки</t>
  </si>
  <si>
    <t>Всего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</si>
  <si>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</si>
  <si>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</si>
  <si>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ремонт и окраска дверей (восстановление фурнитуры и остекления) ручки-скобы</t>
  </si>
  <si>
    <t>смена керамогранитных плит:до 6шт.</t>
  </si>
  <si>
    <t>смена задвижек диам. 80мм на шаровые краны</t>
  </si>
  <si>
    <t>установка шайб диаметром трубопроводов до 100мм</t>
  </si>
  <si>
    <t>Текущий ремонт</t>
  </si>
  <si>
    <t>прокладка внутренних трубопроводов водоснабжения и отопления из полипропиленовых труб:диам. 32мм</t>
  </si>
  <si>
    <t xml:space="preserve"> смена кранов на шаровые краны диам.15,32мм</t>
  </si>
  <si>
    <t>демонтаж почтовых ящиков</t>
  </si>
  <si>
    <t>монтаж почтовых ящиков</t>
  </si>
  <si>
    <t>установка решеток жалюзийных</t>
  </si>
  <si>
    <t>смена керамических коврово-мозаичных плиток в полах:до 10шт.</t>
  </si>
  <si>
    <t>ремонт дверных полотен со сменой ьрусков обвязки вертикальных с числом сопряжений 2</t>
  </si>
  <si>
    <t>смена дверных приборов(шпингалеты)</t>
  </si>
  <si>
    <t>смена дверных приборов  петли (проушины)</t>
  </si>
  <si>
    <t>укрепление оконных и дверных коробок с конопаткой</t>
  </si>
  <si>
    <t>выполнение работ по демонтажу оконного блока на лоджии и смене альпиниста кв 71</t>
  </si>
  <si>
    <t xml:space="preserve"> смена кранов на шаровые краны диам.15,25,32мм</t>
  </si>
  <si>
    <t>смена отдельных участков трубопроводов с заготовкой труб в построечных условиях диам. до 32мм</t>
  </si>
  <si>
    <t>прокладка внутренних трубпроводов водоснабжения и отопления из полипропиленовых труб:диам. 32мм</t>
  </si>
  <si>
    <t xml:space="preserve"> смена кранов на шаровые краны диам.15,2,250мм</t>
  </si>
  <si>
    <t>валка деревьев  с вывозом мусора</t>
  </si>
  <si>
    <t>ремонт мягкого покрытия кровли 4  подъезда</t>
  </si>
  <si>
    <t>ремонт и восстановление уплотнения стыков прокладками ПРП в 1 ряд насухо</t>
  </si>
  <si>
    <t>4 квартад</t>
  </si>
  <si>
    <t>выполнение работ по утеплению фасада</t>
  </si>
  <si>
    <t xml:space="preserve">
Отчет о выполнении работ по текущему ремонту общего имущества 
в многоквартирном доме по адресу: г.Щёлково, ул.Заречная, дом 6  на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</si>
</sst>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0" borderId="1" xfId="0" applyFont="1" applyBorder="1"/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2" fontId="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"/>
  <sheetViews>
    <sheetView tabSelected="1" topLeftCell="D130" zoomScale="91" zoomScaleNormal="91" workbookViewId="0">
      <selection activeCell="K150" sqref="K150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1" t="s">
        <v>96</v>
      </c>
      <c r="J1" s="71"/>
    </row>
    <row r="2" spans="1:12" ht="70.5" customHeight="1" x14ac:dyDescent="0.25">
      <c r="A2" s="66" t="s">
        <v>200</v>
      </c>
      <c r="B2" s="67"/>
      <c r="C2" s="67"/>
      <c r="D2" s="67"/>
      <c r="E2" s="67"/>
      <c r="F2" s="67"/>
      <c r="G2" s="67"/>
      <c r="H2" s="67"/>
      <c r="I2" s="67"/>
      <c r="J2" s="67"/>
      <c r="K2" s="2"/>
      <c r="L2" s="2"/>
    </row>
    <row r="3" spans="1:12" ht="75" x14ac:dyDescent="0.25">
      <c r="A3" s="20" t="s">
        <v>82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81</v>
      </c>
      <c r="H3" s="21" t="s">
        <v>80</v>
      </c>
      <c r="I3" s="21" t="s">
        <v>101</v>
      </c>
      <c r="J3" s="21" t="s">
        <v>103</v>
      </c>
      <c r="K3" s="2"/>
      <c r="L3" s="2"/>
    </row>
    <row r="4" spans="1:12" ht="18.75" x14ac:dyDescent="0.3">
      <c r="A4" s="72" t="s">
        <v>88</v>
      </c>
      <c r="B4" s="73"/>
      <c r="C4" s="73"/>
      <c r="D4" s="73"/>
      <c r="E4" s="73"/>
      <c r="F4" s="73"/>
      <c r="G4" s="74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196</v>
      </c>
      <c r="E5" s="41" t="s">
        <v>141</v>
      </c>
      <c r="F5" s="41">
        <v>1</v>
      </c>
      <c r="G5" s="13" t="s">
        <v>144</v>
      </c>
      <c r="H5" s="41">
        <f>586326/F5</f>
        <v>586326</v>
      </c>
      <c r="I5" s="52">
        <f>F5*H5</f>
        <v>586326</v>
      </c>
      <c r="J5" s="13" t="s">
        <v>123</v>
      </c>
      <c r="K5" s="2"/>
      <c r="L5" s="2"/>
    </row>
    <row r="6" spans="1:12" ht="18.75" x14ac:dyDescent="0.3">
      <c r="A6" s="6"/>
      <c r="B6" s="5"/>
      <c r="C6" s="4"/>
      <c r="D6" s="15" t="s">
        <v>120</v>
      </c>
      <c r="E6" s="41"/>
      <c r="F6" s="41">
        <v>8</v>
      </c>
      <c r="G6" s="13" t="s">
        <v>113</v>
      </c>
      <c r="H6" s="45">
        <f>(281.8+146.8)/F6</f>
        <v>53.575000000000003</v>
      </c>
      <c r="I6" s="53">
        <f>F6*H6</f>
        <v>428.6</v>
      </c>
      <c r="J6" s="13" t="s">
        <v>121</v>
      </c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155</v>
      </c>
      <c r="E7" s="41" t="s">
        <v>141</v>
      </c>
      <c r="F7" s="41" t="s">
        <v>141</v>
      </c>
      <c r="G7" s="13" t="s">
        <v>30</v>
      </c>
      <c r="H7" s="41" t="s">
        <v>141</v>
      </c>
      <c r="I7" s="45" t="s">
        <v>141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1" t="s">
        <v>141</v>
      </c>
      <c r="F8" s="41" t="s">
        <v>141</v>
      </c>
      <c r="G8" s="13" t="s">
        <v>30</v>
      </c>
      <c r="H8" s="41" t="s">
        <v>141</v>
      </c>
      <c r="I8" s="45" t="s">
        <v>141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1" t="s">
        <v>141</v>
      </c>
      <c r="F9" s="41" t="s">
        <v>141</v>
      </c>
      <c r="G9" s="13" t="s">
        <v>30</v>
      </c>
      <c r="H9" s="41" t="s">
        <v>141</v>
      </c>
      <c r="I9" s="45" t="s">
        <v>141</v>
      </c>
      <c r="J9" s="13"/>
      <c r="K9" s="2"/>
      <c r="L9" s="2"/>
    </row>
    <row r="10" spans="1:12" ht="18.75" x14ac:dyDescent="0.3">
      <c r="A10" s="7"/>
      <c r="B10" s="5"/>
      <c r="C10" s="4"/>
      <c r="D10" s="15" t="s">
        <v>169</v>
      </c>
      <c r="E10" s="41"/>
      <c r="F10" s="41"/>
      <c r="G10" s="13" t="s">
        <v>144</v>
      </c>
      <c r="H10" s="41"/>
      <c r="I10" s="45"/>
      <c r="J10" s="13"/>
      <c r="K10" s="2"/>
      <c r="L10" s="2"/>
    </row>
    <row r="11" spans="1:12" ht="32.25" x14ac:dyDescent="0.3">
      <c r="A11" s="6" t="s">
        <v>4</v>
      </c>
      <c r="B11" s="5"/>
      <c r="C11" s="4"/>
      <c r="D11" s="15" t="s">
        <v>37</v>
      </c>
      <c r="E11" s="41" t="s">
        <v>141</v>
      </c>
      <c r="F11" s="41" t="s">
        <v>141</v>
      </c>
      <c r="G11" s="13" t="s">
        <v>30</v>
      </c>
      <c r="H11" s="41" t="s">
        <v>141</v>
      </c>
      <c r="I11" s="45" t="s">
        <v>141</v>
      </c>
      <c r="J11" s="13"/>
      <c r="K11" s="2"/>
      <c r="L11" s="2"/>
    </row>
    <row r="12" spans="1:12" ht="18.75" x14ac:dyDescent="0.3">
      <c r="A12" s="6" t="s">
        <v>5</v>
      </c>
      <c r="B12" s="5"/>
      <c r="C12" s="4"/>
      <c r="D12" s="4" t="s">
        <v>87</v>
      </c>
      <c r="E12" s="41" t="s">
        <v>141</v>
      </c>
      <c r="F12" s="41" t="s">
        <v>141</v>
      </c>
      <c r="G12" s="13" t="s">
        <v>31</v>
      </c>
      <c r="H12" s="41" t="s">
        <v>141</v>
      </c>
      <c r="I12" s="45" t="s">
        <v>141</v>
      </c>
      <c r="J12" s="13"/>
      <c r="K12" s="2"/>
      <c r="L12" s="2"/>
    </row>
    <row r="13" spans="1:12" ht="37.5" x14ac:dyDescent="0.3">
      <c r="A13" s="6" t="s">
        <v>6</v>
      </c>
      <c r="B13" s="5"/>
      <c r="C13" s="4"/>
      <c r="D13" s="4" t="s">
        <v>36</v>
      </c>
      <c r="E13" s="41" t="s">
        <v>141</v>
      </c>
      <c r="F13" s="41" t="s">
        <v>141</v>
      </c>
      <c r="G13" s="14" t="s">
        <v>31</v>
      </c>
      <c r="H13" s="41" t="s">
        <v>141</v>
      </c>
      <c r="I13" s="45" t="s">
        <v>141</v>
      </c>
      <c r="J13" s="13"/>
      <c r="K13" s="2"/>
      <c r="L13" s="2"/>
    </row>
    <row r="14" spans="1:12" ht="32.25" x14ac:dyDescent="0.3">
      <c r="A14" s="6" t="s">
        <v>64</v>
      </c>
      <c r="B14" s="5"/>
      <c r="C14" s="4"/>
      <c r="D14" s="15" t="s">
        <v>53</v>
      </c>
      <c r="E14" s="41" t="s">
        <v>141</v>
      </c>
      <c r="F14" s="41" t="s">
        <v>141</v>
      </c>
      <c r="G14" s="13" t="s">
        <v>30</v>
      </c>
      <c r="H14" s="41" t="s">
        <v>141</v>
      </c>
      <c r="I14" s="45" t="s">
        <v>141</v>
      </c>
      <c r="J14" s="13"/>
      <c r="L14" s="2"/>
    </row>
    <row r="15" spans="1:12" ht="27" customHeight="1" x14ac:dyDescent="0.3">
      <c r="A15" s="6" t="s">
        <v>7</v>
      </c>
      <c r="B15" s="5"/>
      <c r="C15" s="4"/>
      <c r="D15" s="15" t="s">
        <v>34</v>
      </c>
      <c r="E15" s="41" t="s">
        <v>141</v>
      </c>
      <c r="F15" s="41" t="s">
        <v>141</v>
      </c>
      <c r="G15" s="13" t="s">
        <v>30</v>
      </c>
      <c r="H15" s="41" t="s">
        <v>141</v>
      </c>
      <c r="I15" s="45" t="s">
        <v>141</v>
      </c>
      <c r="J15" s="13"/>
      <c r="K15" s="2"/>
      <c r="L15" s="2"/>
    </row>
    <row r="16" spans="1:12" ht="27" customHeight="1" x14ac:dyDescent="0.3">
      <c r="A16" s="28"/>
      <c r="B16" s="22"/>
      <c r="C16" s="22"/>
      <c r="D16" s="30"/>
      <c r="E16" s="46"/>
      <c r="F16" s="46"/>
      <c r="G16" s="31"/>
      <c r="H16" s="41"/>
      <c r="I16" s="45">
        <f>SUM(I5:I15)</f>
        <v>586754.6</v>
      </c>
      <c r="J16" s="13"/>
      <c r="K16" s="2"/>
      <c r="L16" s="2"/>
    </row>
    <row r="17" spans="1:12" ht="18.75" x14ac:dyDescent="0.3">
      <c r="A17" s="72" t="s">
        <v>57</v>
      </c>
      <c r="B17" s="73"/>
      <c r="C17" s="73"/>
      <c r="D17" s="73"/>
      <c r="E17" s="73"/>
      <c r="F17" s="73"/>
      <c r="G17" s="74"/>
      <c r="H17" s="14"/>
      <c r="I17" s="5"/>
      <c r="J17" s="13"/>
      <c r="L17" s="2"/>
    </row>
    <row r="18" spans="1:12" ht="18.75" x14ac:dyDescent="0.3">
      <c r="A18" s="6" t="s">
        <v>19</v>
      </c>
      <c r="B18" s="5"/>
      <c r="C18" s="4"/>
      <c r="D18" s="4" t="s">
        <v>95</v>
      </c>
      <c r="E18" s="41" t="s">
        <v>141</v>
      </c>
      <c r="F18" s="41"/>
      <c r="G18" s="14" t="s">
        <v>55</v>
      </c>
      <c r="H18" s="41"/>
      <c r="I18" s="52"/>
      <c r="J18" s="13"/>
      <c r="L18" s="2"/>
    </row>
    <row r="19" spans="1:12" ht="18.75" x14ac:dyDescent="0.3">
      <c r="A19" s="6" t="s">
        <v>13</v>
      </c>
      <c r="B19" s="5"/>
      <c r="C19" s="4"/>
      <c r="D19" s="4" t="s">
        <v>42</v>
      </c>
      <c r="E19" s="41" t="s">
        <v>141</v>
      </c>
      <c r="F19" s="41"/>
      <c r="G19" s="14" t="s">
        <v>54</v>
      </c>
      <c r="H19" s="41"/>
      <c r="I19" s="41"/>
      <c r="J19" s="13"/>
      <c r="L19" s="2"/>
    </row>
    <row r="20" spans="1:12" ht="18.75" x14ac:dyDescent="0.3">
      <c r="A20" s="6" t="s">
        <v>9</v>
      </c>
      <c r="B20" s="5"/>
      <c r="C20" s="4"/>
      <c r="D20" s="4" t="s">
        <v>35</v>
      </c>
      <c r="E20" s="41"/>
      <c r="F20" s="41"/>
      <c r="G20" s="14" t="s">
        <v>54</v>
      </c>
      <c r="H20" s="45"/>
      <c r="I20" s="52"/>
      <c r="J20" s="13"/>
      <c r="K20" s="2"/>
      <c r="L20" s="2"/>
    </row>
    <row r="21" spans="1:12" ht="32.25" x14ac:dyDescent="0.3">
      <c r="A21" s="6"/>
      <c r="B21" s="5"/>
      <c r="C21" s="4"/>
      <c r="D21" s="15" t="s">
        <v>160</v>
      </c>
      <c r="E21" s="41"/>
      <c r="F21" s="41"/>
      <c r="G21" s="14" t="s">
        <v>90</v>
      </c>
      <c r="H21" s="41"/>
      <c r="I21" s="52"/>
      <c r="J21" s="13"/>
      <c r="K21" s="2"/>
      <c r="L21" s="2"/>
    </row>
    <row r="22" spans="1:12" ht="18.75" x14ac:dyDescent="0.3">
      <c r="A22" s="6" t="s">
        <v>10</v>
      </c>
      <c r="B22" s="5"/>
      <c r="C22" s="4"/>
      <c r="D22" s="4" t="s">
        <v>33</v>
      </c>
      <c r="E22" s="41" t="s">
        <v>141</v>
      </c>
      <c r="F22" s="41" t="s">
        <v>141</v>
      </c>
      <c r="G22" s="14" t="s">
        <v>54</v>
      </c>
      <c r="H22" s="41" t="s">
        <v>141</v>
      </c>
      <c r="I22" s="41" t="s">
        <v>141</v>
      </c>
      <c r="J22" s="13"/>
      <c r="K22" s="2"/>
      <c r="L22" s="2"/>
    </row>
    <row r="23" spans="1:12" ht="18.75" x14ac:dyDescent="0.3">
      <c r="A23" s="6" t="s">
        <v>11</v>
      </c>
      <c r="B23" s="5"/>
      <c r="C23" s="4"/>
      <c r="D23" s="4" t="s">
        <v>40</v>
      </c>
      <c r="E23" s="41" t="s">
        <v>141</v>
      </c>
      <c r="F23" s="41" t="s">
        <v>141</v>
      </c>
      <c r="G23" s="14" t="s">
        <v>54</v>
      </c>
      <c r="H23" s="41" t="s">
        <v>141</v>
      </c>
      <c r="I23" s="41" t="s">
        <v>141</v>
      </c>
      <c r="J23" s="13"/>
      <c r="K23" s="2"/>
      <c r="L23" s="2"/>
    </row>
    <row r="24" spans="1:12" ht="18.75" x14ac:dyDescent="0.3">
      <c r="A24" s="6"/>
      <c r="B24" s="5"/>
      <c r="C24" s="4"/>
      <c r="D24" s="4" t="s">
        <v>146</v>
      </c>
      <c r="E24" s="41" t="s">
        <v>141</v>
      </c>
      <c r="F24" s="41" t="s">
        <v>141</v>
      </c>
      <c r="G24" s="14" t="s">
        <v>147</v>
      </c>
      <c r="H24" s="41" t="s">
        <v>141</v>
      </c>
      <c r="I24" s="41" t="s">
        <v>141</v>
      </c>
      <c r="J24" s="13"/>
      <c r="K24" s="2"/>
      <c r="L24" s="2"/>
    </row>
    <row r="25" spans="1:12" ht="18.75" x14ac:dyDescent="0.3">
      <c r="A25" s="6" t="s">
        <v>8</v>
      </c>
      <c r="B25" s="5"/>
      <c r="C25" s="4"/>
      <c r="D25" s="4" t="s">
        <v>32</v>
      </c>
      <c r="E25" s="41" t="s">
        <v>141</v>
      </c>
      <c r="F25" s="41" t="s">
        <v>141</v>
      </c>
      <c r="G25" s="13" t="s">
        <v>30</v>
      </c>
      <c r="H25" s="41" t="s">
        <v>141</v>
      </c>
      <c r="I25" s="41" t="s">
        <v>141</v>
      </c>
      <c r="J25" s="13"/>
      <c r="K25" s="2"/>
      <c r="L25" s="2"/>
    </row>
    <row r="26" spans="1:12" ht="24.75" customHeight="1" x14ac:dyDescent="0.3">
      <c r="A26" s="6" t="s">
        <v>12</v>
      </c>
      <c r="B26" s="5"/>
      <c r="C26" s="4"/>
      <c r="D26" s="15" t="s">
        <v>41</v>
      </c>
      <c r="E26" s="41" t="s">
        <v>141</v>
      </c>
      <c r="F26" s="41" t="s">
        <v>141</v>
      </c>
      <c r="G26" s="14" t="s">
        <v>54</v>
      </c>
      <c r="H26" s="41" t="s">
        <v>141</v>
      </c>
      <c r="I26" s="41" t="s">
        <v>141</v>
      </c>
      <c r="J26" s="13"/>
      <c r="K26" s="2"/>
      <c r="L26" s="2"/>
    </row>
    <row r="27" spans="1:12" ht="24.75" customHeight="1" x14ac:dyDescent="0.3">
      <c r="A27" s="6"/>
      <c r="B27" s="5"/>
      <c r="C27" s="4"/>
      <c r="D27" s="15" t="s">
        <v>170</v>
      </c>
      <c r="E27" s="41"/>
      <c r="F27" s="41"/>
      <c r="G27" s="14" t="s">
        <v>31</v>
      </c>
      <c r="H27" s="41"/>
      <c r="I27" s="41"/>
      <c r="J27" s="13"/>
      <c r="K27" s="2"/>
      <c r="L27" s="2"/>
    </row>
    <row r="28" spans="1:12" ht="18.75" x14ac:dyDescent="0.3">
      <c r="A28" s="6" t="s">
        <v>56</v>
      </c>
      <c r="B28" s="5"/>
      <c r="C28" s="4"/>
      <c r="D28" s="15" t="s">
        <v>166</v>
      </c>
      <c r="E28" s="41" t="s">
        <v>141</v>
      </c>
      <c r="F28" s="41" t="s">
        <v>141</v>
      </c>
      <c r="G28" s="14" t="s">
        <v>30</v>
      </c>
      <c r="H28" s="41" t="s">
        <v>141</v>
      </c>
      <c r="I28" s="41" t="s">
        <v>141</v>
      </c>
      <c r="J28" s="13"/>
      <c r="L28" s="2"/>
    </row>
    <row r="29" spans="1:12" ht="18.75" x14ac:dyDescent="0.3">
      <c r="A29" s="6"/>
      <c r="B29" s="5"/>
      <c r="C29" s="4"/>
      <c r="D29" s="15" t="s">
        <v>199</v>
      </c>
      <c r="E29" s="41" t="s">
        <v>141</v>
      </c>
      <c r="F29" s="41">
        <v>43</v>
      </c>
      <c r="G29" s="14" t="s">
        <v>113</v>
      </c>
      <c r="H29" s="41">
        <f>163400/F29</f>
        <v>3800</v>
      </c>
      <c r="I29" s="52">
        <f>F29*H29</f>
        <v>163400</v>
      </c>
      <c r="J29" s="13" t="s">
        <v>121</v>
      </c>
      <c r="L29" s="2"/>
    </row>
    <row r="30" spans="1:12" ht="32.25" x14ac:dyDescent="0.3">
      <c r="A30" s="6" t="s">
        <v>58</v>
      </c>
      <c r="B30" s="5"/>
      <c r="C30" s="4"/>
      <c r="D30" s="15" t="s">
        <v>94</v>
      </c>
      <c r="E30" s="41" t="s">
        <v>141</v>
      </c>
      <c r="F30" s="41" t="s">
        <v>141</v>
      </c>
      <c r="G30" s="14" t="s">
        <v>54</v>
      </c>
      <c r="H30" s="41" t="s">
        <v>141</v>
      </c>
      <c r="I30" s="41" t="s">
        <v>141</v>
      </c>
      <c r="J30" s="13"/>
      <c r="L30" s="2"/>
    </row>
    <row r="31" spans="1:12" ht="32.25" x14ac:dyDescent="0.3">
      <c r="A31" s="6" t="s">
        <v>14</v>
      </c>
      <c r="B31" s="5"/>
      <c r="C31" s="4"/>
      <c r="D31" s="15" t="s">
        <v>93</v>
      </c>
      <c r="E31" s="41" t="s">
        <v>141</v>
      </c>
      <c r="F31" s="41" t="s">
        <v>141</v>
      </c>
      <c r="G31" s="14" t="s">
        <v>55</v>
      </c>
      <c r="H31" s="41" t="s">
        <v>141</v>
      </c>
      <c r="I31" s="41" t="s">
        <v>141</v>
      </c>
      <c r="J31" s="13"/>
      <c r="L31" s="2"/>
    </row>
    <row r="32" spans="1:12" ht="32.25" x14ac:dyDescent="0.3">
      <c r="A32" s="6"/>
      <c r="B32" s="5"/>
      <c r="C32" s="4"/>
      <c r="D32" s="15" t="s">
        <v>190</v>
      </c>
      <c r="E32" s="41"/>
      <c r="F32" s="41">
        <f>1</f>
        <v>1</v>
      </c>
      <c r="G32" s="14" t="s">
        <v>144</v>
      </c>
      <c r="H32" s="41">
        <f>10000/F32</f>
        <v>10000</v>
      </c>
      <c r="I32" s="64">
        <f>F32*H32</f>
        <v>10000</v>
      </c>
      <c r="J32" s="13" t="s">
        <v>123</v>
      </c>
      <c r="L32" s="2"/>
    </row>
    <row r="33" spans="1:12" ht="18.75" x14ac:dyDescent="0.3">
      <c r="A33" s="6" t="s">
        <v>15</v>
      </c>
      <c r="B33" s="5"/>
      <c r="C33" s="4"/>
      <c r="D33" s="4" t="s">
        <v>43</v>
      </c>
      <c r="E33" s="41" t="s">
        <v>141</v>
      </c>
      <c r="F33" s="41" t="s">
        <v>141</v>
      </c>
      <c r="G33" s="14" t="s">
        <v>55</v>
      </c>
      <c r="H33" s="41" t="s">
        <v>141</v>
      </c>
      <c r="I33" s="41" t="s">
        <v>141</v>
      </c>
      <c r="J33" s="13"/>
      <c r="L33" s="2"/>
    </row>
    <row r="34" spans="1:12" ht="18.75" x14ac:dyDescent="0.3">
      <c r="A34" s="6" t="s">
        <v>16</v>
      </c>
      <c r="B34" s="5"/>
      <c r="C34" s="4"/>
      <c r="D34" s="4" t="s">
        <v>44</v>
      </c>
      <c r="E34" s="41" t="s">
        <v>141</v>
      </c>
      <c r="F34" s="41" t="s">
        <v>141</v>
      </c>
      <c r="G34" s="14" t="s">
        <v>54</v>
      </c>
      <c r="H34" s="41" t="s">
        <v>141</v>
      </c>
      <c r="I34" s="41" t="s">
        <v>141</v>
      </c>
      <c r="J34" s="13"/>
      <c r="L34" s="2"/>
    </row>
    <row r="35" spans="1:12" ht="18.75" x14ac:dyDescent="0.3">
      <c r="A35" s="6" t="s">
        <v>17</v>
      </c>
      <c r="B35" s="5"/>
      <c r="C35" s="4"/>
      <c r="D35" s="4" t="s">
        <v>45</v>
      </c>
      <c r="E35" s="41" t="s">
        <v>141</v>
      </c>
      <c r="F35" s="41" t="s">
        <v>141</v>
      </c>
      <c r="G35" s="13" t="s">
        <v>30</v>
      </c>
      <c r="H35" s="41" t="s">
        <v>141</v>
      </c>
      <c r="I35" s="41" t="s">
        <v>141</v>
      </c>
      <c r="J35" s="13"/>
      <c r="L35" s="2"/>
    </row>
    <row r="36" spans="1:12" ht="18.75" x14ac:dyDescent="0.3">
      <c r="A36" s="6" t="s">
        <v>18</v>
      </c>
      <c r="B36" s="5"/>
      <c r="C36" s="4"/>
      <c r="D36" s="4" t="s">
        <v>46</v>
      </c>
      <c r="E36" s="41" t="s">
        <v>141</v>
      </c>
      <c r="F36" s="41" t="s">
        <v>141</v>
      </c>
      <c r="G36" s="14" t="s">
        <v>55</v>
      </c>
      <c r="H36" s="41" t="s">
        <v>141</v>
      </c>
      <c r="I36" s="41" t="s">
        <v>141</v>
      </c>
      <c r="J36" s="13"/>
      <c r="L36" s="2"/>
    </row>
    <row r="37" spans="1:12" ht="18.75" x14ac:dyDescent="0.3">
      <c r="A37" s="28"/>
      <c r="B37" s="22"/>
      <c r="C37" s="22"/>
      <c r="D37" s="22"/>
      <c r="E37" s="46"/>
      <c r="F37" s="46"/>
      <c r="G37" s="12"/>
      <c r="H37" s="41"/>
      <c r="I37" s="41">
        <f>SUM(I18:I36)</f>
        <v>173400</v>
      </c>
      <c r="J37" s="13"/>
      <c r="L37" s="2"/>
    </row>
    <row r="38" spans="1:12" ht="24" customHeight="1" x14ac:dyDescent="0.3">
      <c r="A38" s="72" t="s">
        <v>86</v>
      </c>
      <c r="B38" s="73"/>
      <c r="C38" s="73"/>
      <c r="D38" s="73"/>
      <c r="E38" s="73"/>
      <c r="F38" s="73"/>
      <c r="G38" s="74"/>
      <c r="H38" s="14"/>
      <c r="I38" s="5"/>
      <c r="J38" s="13"/>
      <c r="L38" s="2"/>
    </row>
    <row r="39" spans="1:12" ht="32.25" customHeight="1" x14ac:dyDescent="0.3">
      <c r="A39" s="6" t="s">
        <v>50</v>
      </c>
      <c r="B39" s="5"/>
      <c r="C39" s="4"/>
      <c r="D39" s="15" t="s">
        <v>175</v>
      </c>
      <c r="E39" s="41" t="s">
        <v>141</v>
      </c>
      <c r="F39" s="41">
        <v>2</v>
      </c>
      <c r="G39" s="38" t="s">
        <v>31</v>
      </c>
      <c r="H39" s="41">
        <f>766.8/F39</f>
        <v>383.4</v>
      </c>
      <c r="I39" s="52">
        <f>F39*H39</f>
        <v>766.8</v>
      </c>
      <c r="J39" s="13" t="s">
        <v>118</v>
      </c>
      <c r="L39" s="2"/>
    </row>
    <row r="40" spans="1:12" ht="32.25" customHeight="1" x14ac:dyDescent="0.3">
      <c r="A40" s="6"/>
      <c r="B40" s="5"/>
      <c r="C40" s="4"/>
      <c r="D40" s="15" t="s">
        <v>186</v>
      </c>
      <c r="E40" s="41"/>
      <c r="F40" s="41">
        <f>2</f>
        <v>2</v>
      </c>
      <c r="G40" s="38" t="s">
        <v>31</v>
      </c>
      <c r="H40" s="45">
        <f>6902.6/F40</f>
        <v>3451.3</v>
      </c>
      <c r="I40" s="52">
        <f>F40*H40</f>
        <v>6902.6</v>
      </c>
      <c r="J40" s="13" t="s">
        <v>150</v>
      </c>
      <c r="L40" s="2"/>
    </row>
    <row r="41" spans="1:12" ht="32.25" customHeight="1" x14ac:dyDescent="0.3">
      <c r="A41" s="6"/>
      <c r="B41" s="5"/>
      <c r="C41" s="4"/>
      <c r="D41" s="15" t="s">
        <v>188</v>
      </c>
      <c r="E41" s="41" t="s">
        <v>141</v>
      </c>
      <c r="F41" s="41">
        <f>4</f>
        <v>4</v>
      </c>
      <c r="G41" s="13" t="s">
        <v>145</v>
      </c>
      <c r="H41" s="41">
        <f>4153.6/F41</f>
        <v>1038.4000000000001</v>
      </c>
      <c r="I41" s="64">
        <f>F41*H41</f>
        <v>4153.6000000000004</v>
      </c>
      <c r="J41" s="13" t="s">
        <v>150</v>
      </c>
      <c r="L41" s="2"/>
    </row>
    <row r="42" spans="1:12" ht="32.25" customHeight="1" x14ac:dyDescent="0.3">
      <c r="A42" s="6"/>
      <c r="B42" s="5"/>
      <c r="C42" s="4"/>
      <c r="D42" s="15" t="s">
        <v>189</v>
      </c>
      <c r="E42" s="41" t="s">
        <v>141</v>
      </c>
      <c r="F42" s="41">
        <f>2</f>
        <v>2</v>
      </c>
      <c r="G42" s="13" t="s">
        <v>31</v>
      </c>
      <c r="H42" s="41">
        <f>2647.4/F42</f>
        <v>1323.7</v>
      </c>
      <c r="I42" s="64">
        <f>F42*H42</f>
        <v>2647.4</v>
      </c>
      <c r="J42" s="13" t="s">
        <v>150</v>
      </c>
      <c r="L42" s="2"/>
    </row>
    <row r="43" spans="1:12" ht="32.25" customHeight="1" x14ac:dyDescent="0.3">
      <c r="A43" s="6"/>
      <c r="B43" s="5"/>
      <c r="C43" s="4"/>
      <c r="D43" s="15" t="s">
        <v>197</v>
      </c>
      <c r="E43" s="41"/>
      <c r="F43" s="41">
        <v>17</v>
      </c>
      <c r="G43" s="13" t="s">
        <v>30</v>
      </c>
      <c r="H43" s="45">
        <f>4607.8/F43</f>
        <v>271.04705882352943</v>
      </c>
      <c r="I43" s="64">
        <f t="shared" ref="I43" si="0">F43*H43</f>
        <v>4607.8</v>
      </c>
      <c r="J43" s="13" t="s">
        <v>198</v>
      </c>
      <c r="L43" s="2"/>
    </row>
    <row r="44" spans="1:12" ht="32.25" customHeight="1" x14ac:dyDescent="0.3">
      <c r="A44" s="6"/>
      <c r="B44" s="5"/>
      <c r="C44" s="4"/>
      <c r="D44" s="15" t="s">
        <v>187</v>
      </c>
      <c r="E44" s="41"/>
      <c r="F44" s="41">
        <v>2</v>
      </c>
      <c r="G44" s="13" t="s">
        <v>31</v>
      </c>
      <c r="H44" s="45">
        <f>2958.4/F44</f>
        <v>1479.2</v>
      </c>
      <c r="I44" s="52">
        <f>F44*H44</f>
        <v>2958.4</v>
      </c>
      <c r="J44" s="13" t="s">
        <v>121</v>
      </c>
      <c r="L44" s="2"/>
    </row>
    <row r="45" spans="1:12" ht="32.25" x14ac:dyDescent="0.3">
      <c r="A45" s="6" t="s">
        <v>51</v>
      </c>
      <c r="B45" s="5"/>
      <c r="C45" s="4"/>
      <c r="D45" s="15" t="s">
        <v>99</v>
      </c>
      <c r="E45" s="41" t="s">
        <v>141</v>
      </c>
      <c r="F45" s="41"/>
      <c r="G45" s="13" t="s">
        <v>113</v>
      </c>
      <c r="H45" s="45"/>
      <c r="I45" s="52"/>
      <c r="J45" s="13"/>
      <c r="L45" s="2"/>
    </row>
    <row r="46" spans="1:12" ht="32.25" x14ac:dyDescent="0.3">
      <c r="A46" s="6" t="s">
        <v>60</v>
      </c>
      <c r="B46" s="8"/>
      <c r="C46" s="4"/>
      <c r="D46" s="15" t="s">
        <v>47</v>
      </c>
      <c r="E46" s="41" t="s">
        <v>141</v>
      </c>
      <c r="F46" s="41" t="s">
        <v>141</v>
      </c>
      <c r="G46" s="14" t="s">
        <v>54</v>
      </c>
      <c r="H46" s="41" t="s">
        <v>141</v>
      </c>
      <c r="I46" s="41" t="s">
        <v>141</v>
      </c>
      <c r="J46" s="13"/>
      <c r="L46" s="2"/>
    </row>
    <row r="47" spans="1:12" ht="18.75" x14ac:dyDescent="0.3">
      <c r="A47" s="6" t="s">
        <v>62</v>
      </c>
      <c r="B47" s="5"/>
      <c r="C47" s="4"/>
      <c r="D47" s="15" t="s">
        <v>52</v>
      </c>
      <c r="E47" s="41" t="s">
        <v>141</v>
      </c>
      <c r="F47" s="41" t="s">
        <v>141</v>
      </c>
      <c r="G47" s="14" t="s">
        <v>54</v>
      </c>
      <c r="H47" s="41" t="s">
        <v>141</v>
      </c>
      <c r="I47" s="41" t="s">
        <v>141</v>
      </c>
      <c r="J47" s="13"/>
      <c r="L47" s="2"/>
    </row>
    <row r="48" spans="1:12" ht="32.25" x14ac:dyDescent="0.3">
      <c r="A48" s="6" t="s">
        <v>63</v>
      </c>
      <c r="B48" s="5"/>
      <c r="C48" s="4"/>
      <c r="D48" s="15" t="s">
        <v>65</v>
      </c>
      <c r="E48" s="41" t="s">
        <v>141</v>
      </c>
      <c r="F48" s="41" t="s">
        <v>141</v>
      </c>
      <c r="G48" s="13" t="s">
        <v>30</v>
      </c>
      <c r="H48" s="41" t="s">
        <v>141</v>
      </c>
      <c r="I48" s="41" t="s">
        <v>141</v>
      </c>
      <c r="J48" s="13"/>
      <c r="L48" s="2"/>
    </row>
    <row r="49" spans="1:12" ht="18.75" x14ac:dyDescent="0.3">
      <c r="A49" s="6"/>
      <c r="B49" s="5"/>
      <c r="C49" s="4"/>
      <c r="D49" s="15" t="s">
        <v>156</v>
      </c>
      <c r="E49" s="41" t="s">
        <v>141</v>
      </c>
      <c r="F49" s="41" t="s">
        <v>141</v>
      </c>
      <c r="G49" s="13" t="s">
        <v>31</v>
      </c>
      <c r="H49" s="41" t="s">
        <v>141</v>
      </c>
      <c r="I49" s="41" t="s">
        <v>141</v>
      </c>
      <c r="J49" s="13"/>
      <c r="L49" s="2"/>
    </row>
    <row r="50" spans="1:12" ht="18.75" x14ac:dyDescent="0.3">
      <c r="A50" s="6" t="s">
        <v>59</v>
      </c>
      <c r="B50" s="8"/>
      <c r="C50" s="4"/>
      <c r="D50" s="4" t="s">
        <v>48</v>
      </c>
      <c r="E50" s="41" t="s">
        <v>141</v>
      </c>
      <c r="F50" s="41" t="s">
        <v>141</v>
      </c>
      <c r="G50" s="14" t="s">
        <v>54</v>
      </c>
      <c r="H50" s="41" t="s">
        <v>141</v>
      </c>
      <c r="I50" s="41" t="s">
        <v>141</v>
      </c>
      <c r="J50" s="13"/>
      <c r="L50" s="2"/>
    </row>
    <row r="51" spans="1:12" ht="18.75" x14ac:dyDescent="0.3">
      <c r="A51" s="6"/>
      <c r="B51" s="8"/>
      <c r="C51" s="4"/>
      <c r="D51" s="4" t="s">
        <v>176</v>
      </c>
      <c r="E51" s="41"/>
      <c r="F51" s="41"/>
      <c r="G51" s="14" t="s">
        <v>31</v>
      </c>
      <c r="H51" s="45"/>
      <c r="I51" s="52"/>
      <c r="J51" s="13"/>
      <c r="L51" s="2"/>
    </row>
    <row r="52" spans="1:12" ht="18.75" x14ac:dyDescent="0.3">
      <c r="A52" s="6"/>
      <c r="B52" s="8"/>
      <c r="C52" s="4"/>
      <c r="D52" s="4" t="s">
        <v>185</v>
      </c>
      <c r="E52" s="41"/>
      <c r="F52" s="41">
        <f>71</f>
        <v>71</v>
      </c>
      <c r="G52" s="14" t="s">
        <v>31</v>
      </c>
      <c r="H52" s="45">
        <f>11273.4/F52</f>
        <v>158.78028169014084</v>
      </c>
      <c r="I52" s="52">
        <f>F52*H52</f>
        <v>11273.4</v>
      </c>
      <c r="J52" s="13" t="s">
        <v>123</v>
      </c>
      <c r="L52" s="2"/>
    </row>
    <row r="53" spans="1:12" ht="24" customHeight="1" x14ac:dyDescent="0.3">
      <c r="A53" s="6" t="s">
        <v>61</v>
      </c>
      <c r="B53" s="8"/>
      <c r="C53" s="4"/>
      <c r="D53" s="4" t="s">
        <v>49</v>
      </c>
      <c r="E53" s="41" t="s">
        <v>141</v>
      </c>
      <c r="F53" s="41" t="s">
        <v>141</v>
      </c>
      <c r="G53" s="14" t="s">
        <v>54</v>
      </c>
      <c r="H53" s="41" t="s">
        <v>141</v>
      </c>
      <c r="I53" s="41" t="s">
        <v>141</v>
      </c>
      <c r="J53" s="13"/>
      <c r="L53" s="2"/>
    </row>
    <row r="54" spans="1:12" ht="24" customHeight="1" x14ac:dyDescent="0.3">
      <c r="A54" s="6" t="s">
        <v>66</v>
      </c>
      <c r="B54" s="5"/>
      <c r="C54" s="4"/>
      <c r="D54" s="4" t="s">
        <v>182</v>
      </c>
      <c r="E54" s="41" t="s">
        <v>141</v>
      </c>
      <c r="F54" s="41">
        <v>1</v>
      </c>
      <c r="G54" s="14" t="s">
        <v>55</v>
      </c>
      <c r="H54" s="41">
        <f>1171.8/F54</f>
        <v>1171.8</v>
      </c>
      <c r="I54" s="64">
        <f>F54*H54</f>
        <v>1171.8</v>
      </c>
      <c r="J54" s="13" t="s">
        <v>150</v>
      </c>
      <c r="L54" s="2"/>
    </row>
    <row r="55" spans="1:12" ht="18.75" x14ac:dyDescent="0.3">
      <c r="A55" s="6"/>
      <c r="B55" s="5"/>
      <c r="C55" s="4"/>
      <c r="D55" s="4" t="s">
        <v>183</v>
      </c>
      <c r="E55" s="41" t="s">
        <v>141</v>
      </c>
      <c r="F55" s="41">
        <f>1</f>
        <v>1</v>
      </c>
      <c r="G55" s="14" t="s">
        <v>55</v>
      </c>
      <c r="H55" s="41">
        <f>2077/F55</f>
        <v>2077</v>
      </c>
      <c r="I55" s="64">
        <f>F55*H55</f>
        <v>2077</v>
      </c>
      <c r="J55" s="13" t="s">
        <v>150</v>
      </c>
      <c r="L55" s="2"/>
    </row>
    <row r="56" spans="1:12" ht="18.75" x14ac:dyDescent="0.3">
      <c r="A56" s="28"/>
      <c r="B56" s="22"/>
      <c r="C56" s="22"/>
      <c r="D56" s="22"/>
      <c r="E56" s="46"/>
      <c r="F56" s="46"/>
      <c r="G56" s="12"/>
      <c r="H56" s="41"/>
      <c r="I56" s="41">
        <f>SUM(I39:I55)</f>
        <v>36558.800000000003</v>
      </c>
      <c r="J56" s="13"/>
      <c r="L56" s="2"/>
    </row>
    <row r="57" spans="1:12" ht="18.75" x14ac:dyDescent="0.3">
      <c r="A57" s="72" t="s">
        <v>68</v>
      </c>
      <c r="B57" s="73"/>
      <c r="C57" s="73"/>
      <c r="D57" s="73"/>
      <c r="E57" s="73"/>
      <c r="F57" s="73"/>
      <c r="G57" s="74"/>
      <c r="H57" s="18"/>
      <c r="I57" s="5"/>
      <c r="J57" s="13"/>
      <c r="L57" s="2"/>
    </row>
    <row r="58" spans="1:12" ht="37.5" x14ac:dyDescent="0.25">
      <c r="A58" s="9" t="s">
        <v>29</v>
      </c>
      <c r="B58" s="8"/>
      <c r="C58" s="4"/>
      <c r="D58" s="15" t="s">
        <v>143</v>
      </c>
      <c r="E58" s="41" t="s">
        <v>141</v>
      </c>
      <c r="F58" s="41" t="s">
        <v>141</v>
      </c>
      <c r="G58" s="13" t="s">
        <v>55</v>
      </c>
      <c r="H58" s="41" t="s">
        <v>141</v>
      </c>
      <c r="I58" s="41" t="s">
        <v>141</v>
      </c>
      <c r="J58" s="13"/>
      <c r="L58" s="2"/>
    </row>
    <row r="59" spans="1:12" ht="46.5" customHeight="1" x14ac:dyDescent="0.25">
      <c r="A59" s="9" t="s">
        <v>92</v>
      </c>
      <c r="B59" s="8"/>
      <c r="C59" s="4"/>
      <c r="D59" s="42" t="s">
        <v>126</v>
      </c>
      <c r="E59" s="32"/>
      <c r="F59" s="13">
        <f>1939.1</f>
        <v>1939.1</v>
      </c>
      <c r="G59" s="13" t="s">
        <v>113</v>
      </c>
      <c r="H59" s="33">
        <f>(9077.8+9077.8+9077.8+9135+9135+9135+9488.2+9488.2+9488.2+9611.8+9611.8+9611.8)/F59</f>
        <v>57.726986746428757</v>
      </c>
      <c r="I59" s="33">
        <f t="shared" ref="I59:I60" si="1">F59*H59</f>
        <v>111938.4</v>
      </c>
      <c r="J59" s="13" t="s">
        <v>116</v>
      </c>
      <c r="L59" s="2"/>
    </row>
    <row r="60" spans="1:12" ht="46.5" customHeight="1" x14ac:dyDescent="0.25">
      <c r="A60" s="9"/>
      <c r="B60" s="8"/>
      <c r="C60" s="4"/>
      <c r="D60" s="15" t="s">
        <v>111</v>
      </c>
      <c r="E60" s="32"/>
      <c r="F60" s="13">
        <f>1829</f>
        <v>1829</v>
      </c>
      <c r="G60" s="13" t="s">
        <v>30</v>
      </c>
      <c r="H60" s="33">
        <f>189658.8/F60</f>
        <v>103.69535265172225</v>
      </c>
      <c r="I60" s="33">
        <f t="shared" si="1"/>
        <v>189658.8</v>
      </c>
      <c r="J60" s="13" t="s">
        <v>118</v>
      </c>
      <c r="L60" s="2"/>
    </row>
    <row r="61" spans="1:12" ht="46.5" customHeight="1" x14ac:dyDescent="0.25">
      <c r="A61" s="9"/>
      <c r="B61" s="8"/>
      <c r="C61" s="4"/>
      <c r="D61" s="15" t="s">
        <v>112</v>
      </c>
      <c r="E61" s="41"/>
      <c r="F61" s="41">
        <f>44</f>
        <v>44</v>
      </c>
      <c r="G61" s="13" t="s">
        <v>30</v>
      </c>
      <c r="H61" s="45">
        <f>4062.6/F61</f>
        <v>92.331818181818178</v>
      </c>
      <c r="I61" s="41">
        <f>F61*H61</f>
        <v>4062.6</v>
      </c>
      <c r="J61" s="13" t="s">
        <v>118</v>
      </c>
      <c r="L61" s="2"/>
    </row>
    <row r="62" spans="1:12" ht="46.5" customHeight="1" x14ac:dyDescent="0.25">
      <c r="A62" s="9"/>
      <c r="B62" s="8"/>
      <c r="C62" s="4"/>
      <c r="D62" s="15" t="s">
        <v>178</v>
      </c>
      <c r="E62" s="41" t="s">
        <v>141</v>
      </c>
      <c r="F62" s="41">
        <f>5</f>
        <v>5</v>
      </c>
      <c r="G62" s="13" t="s">
        <v>31</v>
      </c>
      <c r="H62" s="41">
        <f>7620.6/F62</f>
        <v>1524.1200000000001</v>
      </c>
      <c r="I62" s="52">
        <f>F62*H62</f>
        <v>7620.6</v>
      </c>
      <c r="J62" s="13" t="s">
        <v>118</v>
      </c>
      <c r="L62" s="2"/>
    </row>
    <row r="63" spans="1:12" ht="46.5" customHeight="1" x14ac:dyDescent="0.25">
      <c r="A63" s="9"/>
      <c r="B63" s="8"/>
      <c r="C63" s="4"/>
      <c r="D63" s="15" t="s">
        <v>192</v>
      </c>
      <c r="E63" s="41" t="s">
        <v>141</v>
      </c>
      <c r="F63" s="41">
        <f>1.5</f>
        <v>1.5</v>
      </c>
      <c r="G63" s="13" t="s">
        <v>30</v>
      </c>
      <c r="H63" s="45">
        <f>1913.2/F63</f>
        <v>1275.4666666666667</v>
      </c>
      <c r="I63" s="52">
        <f t="shared" ref="I63:I69" si="2">F63*H63</f>
        <v>1913.2</v>
      </c>
      <c r="J63" s="13" t="s">
        <v>118</v>
      </c>
      <c r="L63" s="2"/>
    </row>
    <row r="64" spans="1:12" ht="46.5" customHeight="1" x14ac:dyDescent="0.25">
      <c r="A64" s="9"/>
      <c r="B64" s="8"/>
      <c r="C64" s="4"/>
      <c r="D64" s="15" t="s">
        <v>162</v>
      </c>
      <c r="E64" s="41" t="s">
        <v>141</v>
      </c>
      <c r="F64" s="41">
        <f>1+1</f>
        <v>2</v>
      </c>
      <c r="G64" s="13" t="s">
        <v>154</v>
      </c>
      <c r="H64" s="41">
        <f>(7000+7257.4)/F64</f>
        <v>7128.7</v>
      </c>
      <c r="I64" s="64">
        <f t="shared" si="2"/>
        <v>14257.4</v>
      </c>
      <c r="J64" s="13" t="s">
        <v>123</v>
      </c>
      <c r="L64" s="2"/>
    </row>
    <row r="65" spans="1:12" ht="46.5" customHeight="1" x14ac:dyDescent="0.25">
      <c r="A65" s="9"/>
      <c r="B65" s="8"/>
      <c r="C65" s="4"/>
      <c r="D65" s="15" t="s">
        <v>164</v>
      </c>
      <c r="E65" s="41" t="s">
        <v>141</v>
      </c>
      <c r="F65" s="41">
        <f>6+8+4</f>
        <v>18</v>
      </c>
      <c r="G65" s="13" t="s">
        <v>30</v>
      </c>
      <c r="H65" s="45">
        <f>(2225.4+2966.8+1377.8)/F65</f>
        <v>365.00000000000006</v>
      </c>
      <c r="I65" s="62">
        <f t="shared" si="2"/>
        <v>6570.0000000000009</v>
      </c>
      <c r="J65" s="13" t="s">
        <v>121</v>
      </c>
      <c r="L65" s="2"/>
    </row>
    <row r="66" spans="1:12" ht="89.25" customHeight="1" x14ac:dyDescent="0.25">
      <c r="A66" s="9"/>
      <c r="B66" s="8"/>
      <c r="C66" s="4"/>
      <c r="D66" s="15" t="s">
        <v>165</v>
      </c>
      <c r="E66" s="41" t="s">
        <v>141</v>
      </c>
      <c r="F66" s="41">
        <f>3</f>
        <v>3</v>
      </c>
      <c r="G66" s="13" t="s">
        <v>163</v>
      </c>
      <c r="H66" s="41">
        <f>110.4/F66</f>
        <v>36.800000000000004</v>
      </c>
      <c r="I66" s="62">
        <f t="shared" si="2"/>
        <v>110.4</v>
      </c>
      <c r="J66" s="13" t="s">
        <v>121</v>
      </c>
      <c r="L66" s="2"/>
    </row>
    <row r="67" spans="1:12" ht="56.25" customHeight="1" x14ac:dyDescent="0.25">
      <c r="A67" s="9"/>
      <c r="B67" s="8"/>
      <c r="C67" s="4"/>
      <c r="D67" s="15" t="s">
        <v>153</v>
      </c>
      <c r="E67" s="41" t="s">
        <v>141</v>
      </c>
      <c r="F67" s="41">
        <v>2</v>
      </c>
      <c r="G67" s="13" t="s">
        <v>30</v>
      </c>
      <c r="H67" s="41">
        <f>2934.6/F67</f>
        <v>1467.3</v>
      </c>
      <c r="I67" s="62">
        <f t="shared" si="2"/>
        <v>2934.6</v>
      </c>
      <c r="J67" s="13" t="s">
        <v>121</v>
      </c>
      <c r="L67" s="2"/>
    </row>
    <row r="68" spans="1:12" ht="90" customHeight="1" x14ac:dyDescent="0.25">
      <c r="A68" s="9"/>
      <c r="B68" s="8"/>
      <c r="C68" s="4"/>
      <c r="D68" s="15" t="s">
        <v>168</v>
      </c>
      <c r="E68" s="41" t="s">
        <v>141</v>
      </c>
      <c r="F68" s="41">
        <f>8+11+7</f>
        <v>26</v>
      </c>
      <c r="G68" s="13" t="s">
        <v>163</v>
      </c>
      <c r="H68" s="45">
        <f>(361.6+496.6+319.8)/F68</f>
        <v>45.307692307692307</v>
      </c>
      <c r="I68" s="62">
        <f t="shared" si="2"/>
        <v>1178</v>
      </c>
      <c r="J68" s="13" t="s">
        <v>121</v>
      </c>
      <c r="L68" s="2"/>
    </row>
    <row r="69" spans="1:12" ht="46.5" customHeight="1" x14ac:dyDescent="0.25">
      <c r="A69" s="9"/>
      <c r="B69" s="8"/>
      <c r="C69" s="4"/>
      <c r="D69" s="15" t="s">
        <v>193</v>
      </c>
      <c r="E69" s="41" t="s">
        <v>141</v>
      </c>
      <c r="F69" s="41">
        <f>8+8+4</f>
        <v>20</v>
      </c>
      <c r="G69" s="13" t="s">
        <v>30</v>
      </c>
      <c r="H69" s="45">
        <f>(7344.4+7703.6+7789)/F69</f>
        <v>1141.8499999999999</v>
      </c>
      <c r="I69" s="62">
        <f t="shared" si="2"/>
        <v>22837</v>
      </c>
      <c r="J69" s="13" t="s">
        <v>121</v>
      </c>
      <c r="L69" s="2"/>
    </row>
    <row r="70" spans="1:12" ht="46.5" customHeight="1" x14ac:dyDescent="0.25">
      <c r="A70" s="9"/>
      <c r="B70" s="8"/>
      <c r="C70" s="4"/>
      <c r="D70" s="15" t="s">
        <v>161</v>
      </c>
      <c r="E70" s="41" t="s">
        <v>141</v>
      </c>
      <c r="F70" s="41">
        <f>2</f>
        <v>2</v>
      </c>
      <c r="G70" s="13" t="s">
        <v>154</v>
      </c>
      <c r="H70" s="41">
        <f>14632.4/F70</f>
        <v>7316.2</v>
      </c>
      <c r="I70" s="64">
        <f>F70*H70</f>
        <v>14632.4</v>
      </c>
      <c r="J70" s="13" t="s">
        <v>121</v>
      </c>
      <c r="L70" s="2"/>
    </row>
    <row r="71" spans="1:12" ht="46.5" customHeight="1" x14ac:dyDescent="0.25">
      <c r="A71" s="9"/>
      <c r="B71" s="8"/>
      <c r="C71" s="4"/>
      <c r="D71" s="15" t="s">
        <v>134</v>
      </c>
      <c r="E71" s="41"/>
      <c r="F71" s="41">
        <f>4</f>
        <v>4</v>
      </c>
      <c r="G71" s="13" t="s">
        <v>31</v>
      </c>
      <c r="H71" s="41">
        <f>4828/F71</f>
        <v>1207</v>
      </c>
      <c r="I71" s="52">
        <f>F71*H71</f>
        <v>4828</v>
      </c>
      <c r="J71" s="13" t="s">
        <v>118</v>
      </c>
      <c r="L71" s="2"/>
    </row>
    <row r="72" spans="1:12" ht="31.5" x14ac:dyDescent="0.25">
      <c r="A72" s="9" t="s">
        <v>83</v>
      </c>
      <c r="B72" s="8"/>
      <c r="C72" s="4"/>
      <c r="D72" s="15" t="s">
        <v>157</v>
      </c>
      <c r="E72" s="41"/>
      <c r="F72" s="41"/>
      <c r="G72" s="13" t="s">
        <v>55</v>
      </c>
      <c r="H72" s="41"/>
      <c r="I72" s="41"/>
      <c r="J72" s="13"/>
      <c r="L72" s="2"/>
    </row>
    <row r="73" spans="1:12" ht="31.5" x14ac:dyDescent="0.25">
      <c r="A73" s="9"/>
      <c r="B73" s="8"/>
      <c r="C73" s="4"/>
      <c r="D73" s="15" t="s">
        <v>194</v>
      </c>
      <c r="E73" s="41"/>
      <c r="F73" s="41">
        <f>32+102+7</f>
        <v>141</v>
      </c>
      <c r="G73" s="13" t="s">
        <v>31</v>
      </c>
      <c r="H73" s="45">
        <f>(43126+130112.2+9400.8)/F73</f>
        <v>1295.3120567375886</v>
      </c>
      <c r="I73" s="52">
        <f t="shared" ref="I73" si="3">F73*H73</f>
        <v>182639</v>
      </c>
      <c r="J73" s="13" t="s">
        <v>116</v>
      </c>
      <c r="L73" s="2"/>
    </row>
    <row r="74" spans="1:12" ht="18.75" x14ac:dyDescent="0.25">
      <c r="A74" s="9" t="s">
        <v>20</v>
      </c>
      <c r="B74" s="8"/>
      <c r="C74" s="4"/>
      <c r="D74" s="15" t="s">
        <v>69</v>
      </c>
      <c r="E74" s="41" t="s">
        <v>141</v>
      </c>
      <c r="F74" s="41" t="s">
        <v>141</v>
      </c>
      <c r="G74" s="13" t="s">
        <v>30</v>
      </c>
      <c r="H74" s="41"/>
      <c r="I74" s="41" t="s">
        <v>141</v>
      </c>
      <c r="J74" s="13"/>
      <c r="L74" s="2"/>
    </row>
    <row r="75" spans="1:12" ht="31.5" x14ac:dyDescent="0.25">
      <c r="A75" s="9" t="s">
        <v>21</v>
      </c>
      <c r="B75" s="8"/>
      <c r="C75" s="4"/>
      <c r="D75" s="15" t="s">
        <v>71</v>
      </c>
      <c r="E75" s="41" t="s">
        <v>141</v>
      </c>
      <c r="F75" s="41" t="s">
        <v>141</v>
      </c>
      <c r="G75" s="13" t="s">
        <v>55</v>
      </c>
      <c r="H75" s="41"/>
      <c r="I75" s="41" t="s">
        <v>141</v>
      </c>
      <c r="J75" s="13"/>
      <c r="L75" s="2"/>
    </row>
    <row r="76" spans="1:12" ht="18.75" x14ac:dyDescent="0.25">
      <c r="A76" s="47"/>
      <c r="B76" s="48"/>
      <c r="C76" s="22"/>
      <c r="D76" s="30"/>
      <c r="E76" s="46"/>
      <c r="F76" s="46"/>
      <c r="G76" s="31"/>
      <c r="H76" s="41"/>
      <c r="I76" s="45">
        <f>SUM(I59:I75)</f>
        <v>565180.39999999991</v>
      </c>
      <c r="J76" s="13"/>
      <c r="L76" s="2"/>
    </row>
    <row r="77" spans="1:12" ht="18.75" x14ac:dyDescent="0.3">
      <c r="A77" s="68" t="s">
        <v>72</v>
      </c>
      <c r="B77" s="69"/>
      <c r="C77" s="69"/>
      <c r="D77" s="69"/>
      <c r="E77" s="69"/>
      <c r="F77" s="69"/>
      <c r="G77" s="70"/>
      <c r="H77" s="19"/>
      <c r="I77" s="5"/>
      <c r="J77" s="13"/>
      <c r="L77" s="2"/>
    </row>
    <row r="78" spans="1:12" ht="37.5" x14ac:dyDescent="0.25">
      <c r="A78" s="9" t="s">
        <v>92</v>
      </c>
      <c r="B78" s="8"/>
      <c r="C78" s="4"/>
      <c r="D78" s="4" t="s">
        <v>129</v>
      </c>
      <c r="E78" s="31"/>
      <c r="F78" s="13">
        <f>8+4+8+6+2+6+4+8+12+2</f>
        <v>60</v>
      </c>
      <c r="G78" s="13" t="s">
        <v>115</v>
      </c>
      <c r="H78" s="33">
        <f>(5618+2808.4+5618+4238.8+1412.8+4405.2+2937.2+5873.2+8921.6+1486.6)/F78/3</f>
        <v>240.66555555555553</v>
      </c>
      <c r="I78" s="33">
        <f t="shared" ref="I78" si="4">F78*H78</f>
        <v>14439.933333333332</v>
      </c>
      <c r="J78" s="13" t="s">
        <v>116</v>
      </c>
      <c r="L78" s="2"/>
    </row>
    <row r="79" spans="1:12" ht="31.5" x14ac:dyDescent="0.25">
      <c r="A79" s="9"/>
      <c r="B79" s="8"/>
      <c r="C79" s="4"/>
      <c r="D79" s="15" t="s">
        <v>164</v>
      </c>
      <c r="E79" s="41" t="s">
        <v>141</v>
      </c>
      <c r="F79" s="41">
        <f>1</f>
        <v>1</v>
      </c>
      <c r="G79" s="13" t="s">
        <v>30</v>
      </c>
      <c r="H79" s="41">
        <f>325.4/F79</f>
        <v>325.39999999999998</v>
      </c>
      <c r="I79" s="62">
        <f>F79*H79</f>
        <v>325.39999999999998</v>
      </c>
      <c r="J79" s="13" t="s">
        <v>150</v>
      </c>
      <c r="L79" s="2"/>
    </row>
    <row r="80" spans="1:12" ht="78.75" x14ac:dyDescent="0.25">
      <c r="A80" s="9"/>
      <c r="B80" s="8"/>
      <c r="C80" s="4"/>
      <c r="D80" s="15" t="s">
        <v>165</v>
      </c>
      <c r="E80" s="41" t="s">
        <v>141</v>
      </c>
      <c r="F80" s="41">
        <v>2</v>
      </c>
      <c r="G80" s="13" t="s">
        <v>163</v>
      </c>
      <c r="H80" s="41">
        <f>71.4/F80</f>
        <v>35.700000000000003</v>
      </c>
      <c r="I80" s="62">
        <f>F80*H80</f>
        <v>71.400000000000006</v>
      </c>
      <c r="J80" s="13" t="s">
        <v>150</v>
      </c>
      <c r="L80" s="2"/>
    </row>
    <row r="81" spans="1:12" ht="47.25" x14ac:dyDescent="0.25">
      <c r="A81" s="9"/>
      <c r="B81" s="8"/>
      <c r="C81" s="4"/>
      <c r="D81" s="15" t="s">
        <v>153</v>
      </c>
      <c r="E81" s="41" t="s">
        <v>141</v>
      </c>
      <c r="F81" s="41">
        <f>1</f>
        <v>1</v>
      </c>
      <c r="G81" s="13" t="s">
        <v>30</v>
      </c>
      <c r="H81" s="41">
        <f>1302.6/F81</f>
        <v>1302.5999999999999</v>
      </c>
      <c r="I81" s="62">
        <f>F81*H81</f>
        <v>1302.5999999999999</v>
      </c>
      <c r="J81" s="13" t="s">
        <v>150</v>
      </c>
      <c r="L81" s="2"/>
    </row>
    <row r="82" spans="1:12" ht="18.75" x14ac:dyDescent="0.25">
      <c r="A82" s="9" t="s">
        <v>83</v>
      </c>
      <c r="B82" s="8"/>
      <c r="C82" s="4"/>
      <c r="D82" s="15" t="s">
        <v>70</v>
      </c>
      <c r="E82" s="41" t="s">
        <v>141</v>
      </c>
      <c r="F82" s="41" t="s">
        <v>141</v>
      </c>
      <c r="G82" s="13" t="s">
        <v>55</v>
      </c>
      <c r="H82" s="41" t="s">
        <v>141</v>
      </c>
      <c r="I82" s="45" t="s">
        <v>141</v>
      </c>
      <c r="J82" s="13"/>
      <c r="L82" s="2"/>
    </row>
    <row r="83" spans="1:12" ht="18.75" x14ac:dyDescent="0.25">
      <c r="A83" s="9"/>
      <c r="B83" s="8"/>
      <c r="C83" s="4"/>
      <c r="D83" s="15" t="s">
        <v>177</v>
      </c>
      <c r="E83" s="41"/>
      <c r="F83" s="41"/>
      <c r="G83" s="13" t="s">
        <v>31</v>
      </c>
      <c r="H83" s="41"/>
      <c r="I83" s="53"/>
      <c r="J83" s="13"/>
      <c r="L83" s="2"/>
    </row>
    <row r="84" spans="1:12" ht="31.5" x14ac:dyDescent="0.25">
      <c r="A84" s="9"/>
      <c r="B84" s="8"/>
      <c r="C84" s="4"/>
      <c r="D84" s="15" t="s">
        <v>191</v>
      </c>
      <c r="E84" s="41" t="s">
        <v>141</v>
      </c>
      <c r="F84" s="41">
        <f>2+14</f>
        <v>16</v>
      </c>
      <c r="G84" s="13" t="s">
        <v>31</v>
      </c>
      <c r="H84" s="41">
        <f>(2665.4+20828.4)/F84</f>
        <v>1468.3625000000002</v>
      </c>
      <c r="I84" s="53">
        <f>F84*H84</f>
        <v>23493.800000000003</v>
      </c>
      <c r="J84" s="13" t="s">
        <v>121</v>
      </c>
      <c r="L84" s="2"/>
    </row>
    <row r="85" spans="1:12" ht="31.5" x14ac:dyDescent="0.25">
      <c r="A85" s="9" t="s">
        <v>21</v>
      </c>
      <c r="B85" s="8"/>
      <c r="C85" s="4"/>
      <c r="D85" s="15" t="s">
        <v>71</v>
      </c>
      <c r="E85" s="41" t="s">
        <v>141</v>
      </c>
      <c r="F85" s="41" t="s">
        <v>141</v>
      </c>
      <c r="G85" s="13" t="s">
        <v>144</v>
      </c>
      <c r="H85" s="41"/>
      <c r="I85" s="45" t="s">
        <v>141</v>
      </c>
      <c r="J85" s="13"/>
      <c r="L85" s="2"/>
    </row>
    <row r="86" spans="1:12" ht="18.75" x14ac:dyDescent="0.25">
      <c r="A86" s="47"/>
      <c r="B86" s="48"/>
      <c r="C86" s="22"/>
      <c r="D86" s="30"/>
      <c r="E86" s="46"/>
      <c r="F86" s="46"/>
      <c r="G86" s="31"/>
      <c r="H86" s="41"/>
      <c r="I86" s="45">
        <f>SUM(I78:I85)</f>
        <v>39633.133333333331</v>
      </c>
      <c r="J86" s="13"/>
      <c r="L86" s="2"/>
    </row>
    <row r="87" spans="1:12" ht="18.75" x14ac:dyDescent="0.3">
      <c r="A87" s="68" t="s">
        <v>73</v>
      </c>
      <c r="B87" s="69"/>
      <c r="C87" s="69"/>
      <c r="D87" s="69"/>
      <c r="E87" s="69"/>
      <c r="F87" s="69"/>
      <c r="G87" s="70"/>
      <c r="H87" s="13"/>
      <c r="I87" s="5"/>
      <c r="J87" s="13"/>
      <c r="L87" s="2"/>
    </row>
    <row r="88" spans="1:12" ht="37.5" x14ac:dyDescent="0.25">
      <c r="A88" s="9" t="s">
        <v>92</v>
      </c>
      <c r="B88" s="8"/>
      <c r="C88" s="4"/>
      <c r="D88" s="4" t="s">
        <v>130</v>
      </c>
      <c r="E88" s="31"/>
      <c r="F88" s="13">
        <f>8+4+8+6+2+6+4+8+12+2</f>
        <v>60</v>
      </c>
      <c r="G88" s="13" t="s">
        <v>115</v>
      </c>
      <c r="H88" s="33">
        <f>(5618+2808.4+5618+4238.8+1412.8+4405.2+2937.2+5873.2+8921.6+1486.6)/F88/3</f>
        <v>240.66555555555553</v>
      </c>
      <c r="I88" s="33">
        <f t="shared" ref="I88" si="5">F88*H88</f>
        <v>14439.933333333332</v>
      </c>
      <c r="J88" s="13" t="s">
        <v>116</v>
      </c>
      <c r="L88" s="2"/>
    </row>
    <row r="89" spans="1:12" ht="31.5" x14ac:dyDescent="0.25">
      <c r="A89" s="9"/>
      <c r="B89" s="8"/>
      <c r="C89" s="4"/>
      <c r="D89" s="15" t="s">
        <v>164</v>
      </c>
      <c r="E89" s="31"/>
      <c r="F89" s="31">
        <f>1</f>
        <v>1</v>
      </c>
      <c r="G89" s="13" t="s">
        <v>30</v>
      </c>
      <c r="H89" s="31">
        <f>325.4/F89</f>
        <v>325.39999999999998</v>
      </c>
      <c r="I89" s="63">
        <f>F89*H89</f>
        <v>325.39999999999998</v>
      </c>
      <c r="J89" s="13" t="s">
        <v>150</v>
      </c>
      <c r="L89" s="2"/>
    </row>
    <row r="90" spans="1:12" ht="78.75" x14ac:dyDescent="0.25">
      <c r="A90" s="9"/>
      <c r="B90" s="8"/>
      <c r="C90" s="4"/>
      <c r="D90" s="15" t="s">
        <v>168</v>
      </c>
      <c r="E90" s="41"/>
      <c r="F90" s="41">
        <v>2</v>
      </c>
      <c r="G90" s="13" t="s">
        <v>163</v>
      </c>
      <c r="H90" s="41">
        <f>85.8/F90</f>
        <v>42.9</v>
      </c>
      <c r="I90" s="64">
        <f>F90*H90</f>
        <v>85.8</v>
      </c>
      <c r="J90" s="13" t="s">
        <v>150</v>
      </c>
      <c r="L90" s="2"/>
    </row>
    <row r="91" spans="1:12" ht="47.25" x14ac:dyDescent="0.25">
      <c r="A91" s="9"/>
      <c r="B91" s="8"/>
      <c r="C91" s="4"/>
      <c r="D91" s="15" t="s">
        <v>180</v>
      </c>
      <c r="E91" s="41"/>
      <c r="F91" s="41">
        <v>1</v>
      </c>
      <c r="G91" s="13" t="s">
        <v>30</v>
      </c>
      <c r="H91" s="41">
        <f>3395.2/F91</f>
        <v>3395.2</v>
      </c>
      <c r="I91" s="64">
        <f>F91*H91</f>
        <v>3395.2</v>
      </c>
      <c r="J91" s="13" t="s">
        <v>150</v>
      </c>
      <c r="L91" s="2"/>
    </row>
    <row r="92" spans="1:12" ht="18.75" x14ac:dyDescent="0.25">
      <c r="A92" s="9" t="s">
        <v>83</v>
      </c>
      <c r="B92" s="8"/>
      <c r="C92" s="4"/>
      <c r="D92" s="15" t="s">
        <v>70</v>
      </c>
      <c r="E92" s="41" t="s">
        <v>141</v>
      </c>
      <c r="F92" s="41" t="s">
        <v>141</v>
      </c>
      <c r="G92" s="14" t="s">
        <v>55</v>
      </c>
      <c r="H92" s="41"/>
      <c r="I92" s="41" t="s">
        <v>141</v>
      </c>
      <c r="J92" s="13"/>
      <c r="L92" s="2"/>
    </row>
    <row r="93" spans="1:12" ht="18.75" x14ac:dyDescent="0.25">
      <c r="A93" s="9"/>
      <c r="B93" s="8"/>
      <c r="C93" s="4"/>
      <c r="D93" s="15" t="s">
        <v>181</v>
      </c>
      <c r="E93" s="41" t="s">
        <v>141</v>
      </c>
      <c r="F93" s="41">
        <f>4</f>
        <v>4</v>
      </c>
      <c r="G93" s="13" t="s">
        <v>31</v>
      </c>
      <c r="H93" s="41">
        <f>5905.6/F93</f>
        <v>1476.4</v>
      </c>
      <c r="I93" s="53">
        <f>F93*H93</f>
        <v>5905.6</v>
      </c>
      <c r="J93" s="13" t="s">
        <v>121</v>
      </c>
      <c r="L93" s="2"/>
    </row>
    <row r="94" spans="1:12" ht="31.5" x14ac:dyDescent="0.25">
      <c r="A94" s="9" t="s">
        <v>21</v>
      </c>
      <c r="B94" s="8"/>
      <c r="C94" s="4"/>
      <c r="D94" s="15" t="s">
        <v>71</v>
      </c>
      <c r="E94" s="41" t="s">
        <v>141</v>
      </c>
      <c r="F94" s="41" t="s">
        <v>141</v>
      </c>
      <c r="G94" s="14" t="s">
        <v>55</v>
      </c>
      <c r="H94" s="41" t="s">
        <v>141</v>
      </c>
      <c r="I94" s="41" t="s">
        <v>141</v>
      </c>
      <c r="J94" s="13"/>
      <c r="L94" s="2"/>
    </row>
    <row r="95" spans="1:12" ht="18.75" x14ac:dyDescent="0.25">
      <c r="A95" s="47"/>
      <c r="B95" s="48"/>
      <c r="C95" s="22"/>
      <c r="D95" s="30"/>
      <c r="E95" s="46"/>
      <c r="F95" s="46"/>
      <c r="G95" s="12"/>
      <c r="H95" s="41"/>
      <c r="I95" s="45">
        <f>SUM(I88:I94)</f>
        <v>24151.933333333334</v>
      </c>
      <c r="J95" s="13"/>
      <c r="L95" s="2"/>
    </row>
    <row r="96" spans="1:12" ht="18.75" x14ac:dyDescent="0.3">
      <c r="A96" s="68" t="s">
        <v>74</v>
      </c>
      <c r="B96" s="69"/>
      <c r="C96" s="69"/>
      <c r="D96" s="69"/>
      <c r="E96" s="69"/>
      <c r="F96" s="69"/>
      <c r="G96" s="70"/>
      <c r="H96" s="19"/>
      <c r="I96" s="5"/>
      <c r="J96" s="13"/>
      <c r="L96" s="2"/>
    </row>
    <row r="97" spans="1:12" ht="37.5" x14ac:dyDescent="0.25">
      <c r="A97" s="9" t="s">
        <v>97</v>
      </c>
      <c r="B97" s="8"/>
      <c r="C97" s="4"/>
      <c r="D97" s="4" t="s">
        <v>131</v>
      </c>
      <c r="E97" s="31"/>
      <c r="F97" s="13">
        <f>8+4+8+6+2+6+4+8+12+2</f>
        <v>60</v>
      </c>
      <c r="G97" s="13" t="s">
        <v>115</v>
      </c>
      <c r="H97" s="33">
        <f>(5618+2808.4+5618+4238.8+1412.8+4405.2+2937.2+5873.2+8921.6+1486.6)/F97/3</f>
        <v>240.66555555555553</v>
      </c>
      <c r="I97" s="33">
        <f t="shared" ref="I97:I99" si="6">F97*H97</f>
        <v>14439.933333333332</v>
      </c>
      <c r="J97" s="13" t="s">
        <v>116</v>
      </c>
      <c r="L97" s="2"/>
    </row>
    <row r="98" spans="1:12" ht="31.5" x14ac:dyDescent="0.25">
      <c r="A98" s="9"/>
      <c r="B98" s="8"/>
      <c r="C98" s="4"/>
      <c r="D98" s="15" t="s">
        <v>122</v>
      </c>
      <c r="E98" s="41"/>
      <c r="F98" s="41">
        <f>1.5</f>
        <v>1.5</v>
      </c>
      <c r="G98" s="13" t="s">
        <v>30</v>
      </c>
      <c r="H98" s="45">
        <f>1995.4/F98</f>
        <v>1330.2666666666667</v>
      </c>
      <c r="I98" s="64">
        <f>F98*H98</f>
        <v>1995.4</v>
      </c>
      <c r="J98" s="13" t="s">
        <v>121</v>
      </c>
      <c r="L98" s="2"/>
    </row>
    <row r="99" spans="1:12" ht="18.75" x14ac:dyDescent="0.25">
      <c r="A99" s="9"/>
      <c r="B99" s="8"/>
      <c r="C99" s="4"/>
      <c r="D99" s="4" t="s">
        <v>114</v>
      </c>
      <c r="E99" s="41"/>
      <c r="F99" s="41">
        <f>36+26+36+36+38+38+36+38+38+36</f>
        <v>358</v>
      </c>
      <c r="G99" s="13" t="s">
        <v>30</v>
      </c>
      <c r="H99" s="45">
        <f>(12036.6+8691+12036.4+12225.8+12905.8+12905.8+12744+13453.4+13453.4+13604.8)/F99</f>
        <v>346.52793296089385</v>
      </c>
      <c r="I99" s="41">
        <f t="shared" si="6"/>
        <v>124057</v>
      </c>
      <c r="J99" s="13" t="s">
        <v>116</v>
      </c>
      <c r="L99" s="2"/>
    </row>
    <row r="100" spans="1:12" ht="18.75" x14ac:dyDescent="0.25">
      <c r="A100" s="9" t="s">
        <v>22</v>
      </c>
      <c r="B100" s="8"/>
      <c r="C100" s="4"/>
      <c r="D100" s="4" t="s">
        <v>76</v>
      </c>
      <c r="E100" s="41" t="s">
        <v>141</v>
      </c>
      <c r="F100" s="41" t="s">
        <v>141</v>
      </c>
      <c r="G100" s="13" t="s">
        <v>30</v>
      </c>
      <c r="H100" s="41" t="s">
        <v>141</v>
      </c>
      <c r="I100" s="41" t="s">
        <v>141</v>
      </c>
      <c r="J100" s="13"/>
      <c r="L100" s="2"/>
    </row>
    <row r="101" spans="1:12" ht="18.75" x14ac:dyDescent="0.25">
      <c r="A101" s="47"/>
      <c r="B101" s="48"/>
      <c r="C101" s="22"/>
      <c r="D101" s="22"/>
      <c r="E101" s="46"/>
      <c r="F101" s="46"/>
      <c r="G101" s="31"/>
      <c r="H101" s="41"/>
      <c r="I101" s="45">
        <f>SUM(I97:I100)</f>
        <v>140492.33333333334</v>
      </c>
      <c r="J101" s="13"/>
      <c r="L101" s="2"/>
    </row>
    <row r="102" spans="1:12" ht="18.75" x14ac:dyDescent="0.3">
      <c r="A102" s="68" t="s">
        <v>78</v>
      </c>
      <c r="B102" s="69"/>
      <c r="C102" s="69"/>
      <c r="D102" s="69"/>
      <c r="E102" s="69"/>
      <c r="F102" s="69"/>
      <c r="G102" s="70"/>
      <c r="H102" s="5"/>
      <c r="I102" s="5"/>
      <c r="J102" s="13"/>
      <c r="L102" s="2"/>
    </row>
    <row r="103" spans="1:12" ht="38.25" customHeight="1" x14ac:dyDescent="0.25">
      <c r="A103" s="9" t="s">
        <v>23</v>
      </c>
      <c r="B103" s="5"/>
      <c r="C103" s="4"/>
      <c r="D103" s="15" t="s">
        <v>142</v>
      </c>
      <c r="E103" s="41"/>
      <c r="F103" s="41"/>
      <c r="G103" s="13" t="s">
        <v>55</v>
      </c>
      <c r="H103" s="41"/>
      <c r="I103" s="52"/>
      <c r="J103" s="13"/>
      <c r="L103" s="2"/>
    </row>
    <row r="104" spans="1:12" ht="38.25" customHeight="1" x14ac:dyDescent="0.25">
      <c r="A104" s="9"/>
      <c r="B104" s="5"/>
      <c r="C104" s="4"/>
      <c r="D104" s="15" t="s">
        <v>171</v>
      </c>
      <c r="E104" s="41"/>
      <c r="F104" s="41"/>
      <c r="G104" s="13" t="s">
        <v>31</v>
      </c>
      <c r="H104" s="41"/>
      <c r="I104" s="41"/>
      <c r="J104" s="44"/>
      <c r="L104" s="2"/>
    </row>
    <row r="105" spans="1:12" ht="38.25" customHeight="1" x14ac:dyDescent="0.25">
      <c r="A105" s="9"/>
      <c r="B105" s="5"/>
      <c r="C105" s="4"/>
      <c r="D105" s="15" t="s">
        <v>158</v>
      </c>
      <c r="E105" s="41"/>
      <c r="F105" s="41"/>
      <c r="G105" s="13" t="s">
        <v>31</v>
      </c>
      <c r="H105" s="41"/>
      <c r="I105" s="41" t="s">
        <v>141</v>
      </c>
      <c r="J105" s="13"/>
      <c r="L105" s="2"/>
    </row>
    <row r="106" spans="1:12" ht="18.75" x14ac:dyDescent="0.25">
      <c r="A106" s="9" t="s">
        <v>24</v>
      </c>
      <c r="B106" s="5"/>
      <c r="C106" s="4"/>
      <c r="D106" s="4" t="s">
        <v>77</v>
      </c>
      <c r="E106" s="41"/>
      <c r="F106" s="41"/>
      <c r="G106" s="13" t="s">
        <v>55</v>
      </c>
      <c r="H106" s="41"/>
      <c r="I106" s="41" t="s">
        <v>141</v>
      </c>
      <c r="J106" s="13"/>
      <c r="L106" s="2"/>
    </row>
    <row r="107" spans="1:12" ht="31.5" x14ac:dyDescent="0.25">
      <c r="A107" s="9" t="s">
        <v>127</v>
      </c>
      <c r="B107" s="5"/>
      <c r="C107" s="4"/>
      <c r="D107" s="15" t="s">
        <v>152</v>
      </c>
      <c r="E107" s="41"/>
      <c r="F107" s="41">
        <f>1</f>
        <v>1</v>
      </c>
      <c r="G107" s="13" t="s">
        <v>55</v>
      </c>
      <c r="H107" s="41">
        <f>5564.4</f>
        <v>5564.4</v>
      </c>
      <c r="I107" s="64">
        <f>F107*H107</f>
        <v>5564.4</v>
      </c>
      <c r="J107" s="13" t="s">
        <v>150</v>
      </c>
      <c r="L107" s="2"/>
    </row>
    <row r="108" spans="1:12" ht="18.75" x14ac:dyDescent="0.25">
      <c r="A108" s="9"/>
      <c r="B108" s="5"/>
      <c r="C108" s="4"/>
      <c r="D108" s="15" t="s">
        <v>159</v>
      </c>
      <c r="E108" s="41"/>
      <c r="F108" s="41"/>
      <c r="G108" s="13" t="s">
        <v>148</v>
      </c>
      <c r="H108" s="41"/>
      <c r="I108" s="41"/>
      <c r="J108" s="13"/>
      <c r="L108" s="2"/>
    </row>
    <row r="109" spans="1:12" ht="31.5" x14ac:dyDescent="0.25">
      <c r="A109" s="9"/>
      <c r="B109" s="5"/>
      <c r="C109" s="4"/>
      <c r="D109" s="15" t="s">
        <v>128</v>
      </c>
      <c r="E109" s="41"/>
      <c r="F109" s="41">
        <f>4</f>
        <v>4</v>
      </c>
      <c r="G109" s="13" t="s">
        <v>31</v>
      </c>
      <c r="H109" s="41">
        <f>8258.6/F109</f>
        <v>2064.65</v>
      </c>
      <c r="I109" s="64">
        <f>F109*H109</f>
        <v>8258.6</v>
      </c>
      <c r="J109" s="13" t="s">
        <v>121</v>
      </c>
      <c r="L109" s="2"/>
    </row>
    <row r="110" spans="1:12" ht="18.75" x14ac:dyDescent="0.25">
      <c r="A110" s="9"/>
      <c r="B110" s="5"/>
      <c r="C110" s="4"/>
      <c r="D110" s="15" t="s">
        <v>106</v>
      </c>
      <c r="E110" s="32"/>
      <c r="F110" s="13">
        <f>2+5+13+5+8+12</f>
        <v>45</v>
      </c>
      <c r="G110" s="13" t="s">
        <v>55</v>
      </c>
      <c r="H110" s="33">
        <f>(350+875+2274+843.8+1372+2073.2)/F110</f>
        <v>173.06666666666666</v>
      </c>
      <c r="I110" s="13">
        <f t="shared" ref="I110" si="7">F110*H110</f>
        <v>7788</v>
      </c>
      <c r="J110" s="13" t="s">
        <v>116</v>
      </c>
      <c r="L110" s="2"/>
    </row>
    <row r="111" spans="1:12" ht="18.75" x14ac:dyDescent="0.25">
      <c r="A111" s="9"/>
      <c r="B111" s="5"/>
      <c r="C111" s="4"/>
      <c r="D111" s="15" t="s">
        <v>167</v>
      </c>
      <c r="E111" s="41"/>
      <c r="F111" s="41">
        <f>1+2</f>
        <v>3</v>
      </c>
      <c r="G111" s="13" t="s">
        <v>31</v>
      </c>
      <c r="H111" s="41">
        <f>(325.6+682.4)/F111</f>
        <v>336</v>
      </c>
      <c r="I111" s="41">
        <f>F111*H111</f>
        <v>1008</v>
      </c>
      <c r="J111" s="13" t="s">
        <v>150</v>
      </c>
      <c r="L111" s="2"/>
    </row>
    <row r="112" spans="1:12" ht="56.25" x14ac:dyDescent="0.25">
      <c r="A112" s="9" t="s">
        <v>107</v>
      </c>
      <c r="B112" s="5"/>
      <c r="C112" s="4"/>
      <c r="D112" s="15" t="s">
        <v>125</v>
      </c>
      <c r="E112" s="32"/>
      <c r="F112" s="13">
        <f>45+45+45+45+45+45+45+45+45+45+45+45</f>
        <v>540</v>
      </c>
      <c r="G112" s="13" t="s">
        <v>108</v>
      </c>
      <c r="H112" s="33">
        <f>(4438.8+4438.8+4438.8+4465.4+4465.4+4465.4+4638.8+4638.8+4638.8+4699+4699+4699)/F112</f>
        <v>101.34444444444446</v>
      </c>
      <c r="I112" s="13">
        <f>F112*H112</f>
        <v>54726.000000000007</v>
      </c>
      <c r="J112" s="13" t="s">
        <v>116</v>
      </c>
      <c r="L112" s="2"/>
    </row>
    <row r="113" spans="1:12" ht="18.75" x14ac:dyDescent="0.25">
      <c r="A113" s="47"/>
      <c r="B113" s="22"/>
      <c r="C113" s="22"/>
      <c r="D113" s="30"/>
      <c r="E113" s="49"/>
      <c r="F113" s="50"/>
      <c r="G113" s="31"/>
      <c r="H113" s="31"/>
      <c r="I113" s="13">
        <f>SUM(I103:I112)</f>
        <v>77345</v>
      </c>
      <c r="J113" s="13"/>
      <c r="L113" s="2"/>
    </row>
    <row r="114" spans="1:12" ht="18.75" x14ac:dyDescent="0.25">
      <c r="A114" s="75" t="s">
        <v>91</v>
      </c>
      <c r="B114" s="76"/>
      <c r="C114" s="76"/>
      <c r="D114" s="76"/>
      <c r="E114" s="76"/>
      <c r="F114" s="76"/>
      <c r="G114" s="77"/>
      <c r="H114" s="12"/>
      <c r="I114" s="5"/>
      <c r="J114" s="13"/>
      <c r="L114" s="2"/>
    </row>
    <row r="115" spans="1:12" ht="18.75" x14ac:dyDescent="0.25">
      <c r="A115" s="26"/>
      <c r="B115" s="27"/>
      <c r="C115" s="27"/>
      <c r="D115" s="36" t="s">
        <v>117</v>
      </c>
      <c r="E115" s="41"/>
      <c r="F115" s="41">
        <v>4</v>
      </c>
      <c r="G115" s="38" t="s">
        <v>31</v>
      </c>
      <c r="H115" s="45">
        <f>5268.2/F115</f>
        <v>1317.05</v>
      </c>
      <c r="I115" s="41">
        <f>F115*H115</f>
        <v>5268.2</v>
      </c>
      <c r="J115" s="13" t="s">
        <v>150</v>
      </c>
      <c r="L115" s="2"/>
    </row>
    <row r="116" spans="1:12" ht="63" x14ac:dyDescent="0.25">
      <c r="A116" s="9" t="s">
        <v>89</v>
      </c>
      <c r="B116" s="22"/>
      <c r="C116" s="22"/>
      <c r="D116" s="23" t="s">
        <v>119</v>
      </c>
      <c r="E116" s="37">
        <v>1036</v>
      </c>
      <c r="F116" s="13">
        <v>1036</v>
      </c>
      <c r="G116" s="31" t="s">
        <v>90</v>
      </c>
      <c r="H116" s="31">
        <v>4.8</v>
      </c>
      <c r="I116" s="13">
        <f>F116*H116*12</f>
        <v>59673.600000000006</v>
      </c>
      <c r="J116" s="13" t="s">
        <v>116</v>
      </c>
      <c r="L116" s="2"/>
    </row>
    <row r="117" spans="1:12" ht="18.75" x14ac:dyDescent="0.25">
      <c r="A117" s="47"/>
      <c r="B117" s="22"/>
      <c r="C117" s="22"/>
      <c r="D117" s="30"/>
      <c r="E117" s="49"/>
      <c r="F117" s="50"/>
      <c r="G117" s="31"/>
      <c r="H117" s="31"/>
      <c r="I117" s="33">
        <f>SUM(I115:I116)</f>
        <v>64941.8</v>
      </c>
      <c r="J117" s="13"/>
      <c r="L117" s="2"/>
    </row>
    <row r="118" spans="1:12" ht="18.75" x14ac:dyDescent="0.3">
      <c r="A118" s="68" t="s">
        <v>79</v>
      </c>
      <c r="B118" s="69"/>
      <c r="C118" s="69"/>
      <c r="D118" s="69"/>
      <c r="E118" s="69"/>
      <c r="F118" s="69"/>
      <c r="G118" s="70"/>
      <c r="H118" s="19"/>
      <c r="I118" s="5"/>
      <c r="J118" s="13"/>
      <c r="L118" s="2"/>
    </row>
    <row r="119" spans="1:12" ht="46.5" customHeight="1" x14ac:dyDescent="0.3">
      <c r="A119" s="34" t="s">
        <v>133</v>
      </c>
      <c r="B119" s="24"/>
      <c r="C119" s="24"/>
      <c r="D119" s="35" t="s">
        <v>132</v>
      </c>
      <c r="E119" s="13">
        <v>306</v>
      </c>
      <c r="F119" s="13">
        <v>306</v>
      </c>
      <c r="G119" s="13" t="s">
        <v>140</v>
      </c>
      <c r="H119" s="13">
        <v>13</v>
      </c>
      <c r="I119" s="33">
        <f>F119*H119*3</f>
        <v>11934</v>
      </c>
      <c r="J119" s="13" t="s">
        <v>151</v>
      </c>
      <c r="L119" s="2"/>
    </row>
    <row r="120" spans="1:12" ht="18.75" x14ac:dyDescent="0.25">
      <c r="A120" s="9" t="s">
        <v>25</v>
      </c>
      <c r="B120" s="5"/>
      <c r="C120" s="4"/>
      <c r="D120" s="4" t="s">
        <v>184</v>
      </c>
      <c r="E120" s="41" t="s">
        <v>141</v>
      </c>
      <c r="F120" s="41">
        <v>2</v>
      </c>
      <c r="G120" s="14" t="s">
        <v>55</v>
      </c>
      <c r="H120" s="41">
        <f>6407.4/F120</f>
        <v>3203.7</v>
      </c>
      <c r="I120" s="62">
        <f>F120*H120</f>
        <v>6407.4</v>
      </c>
      <c r="J120" s="13" t="s">
        <v>150</v>
      </c>
      <c r="L120" s="2"/>
    </row>
    <row r="121" spans="1:12" ht="47.25" x14ac:dyDescent="0.25">
      <c r="A121" s="9" t="s">
        <v>26</v>
      </c>
      <c r="B121" s="5"/>
      <c r="C121" s="4"/>
      <c r="D121" s="15" t="s">
        <v>28</v>
      </c>
      <c r="E121" s="41" t="s">
        <v>141</v>
      </c>
      <c r="F121" s="41" t="s">
        <v>141</v>
      </c>
      <c r="G121" s="14" t="s">
        <v>55</v>
      </c>
      <c r="H121" s="41" t="s">
        <v>141</v>
      </c>
      <c r="I121" s="45" t="s">
        <v>141</v>
      </c>
      <c r="J121" s="13"/>
      <c r="L121" s="2"/>
    </row>
    <row r="122" spans="1:12" ht="31.5" x14ac:dyDescent="0.25">
      <c r="A122" s="9" t="s">
        <v>27</v>
      </c>
      <c r="B122" s="5"/>
      <c r="C122" s="4"/>
      <c r="D122" s="15" t="s">
        <v>75</v>
      </c>
      <c r="E122" s="41" t="s">
        <v>141</v>
      </c>
      <c r="F122" s="41" t="s">
        <v>141</v>
      </c>
      <c r="G122" s="14" t="s">
        <v>55</v>
      </c>
      <c r="H122" s="41" t="s">
        <v>141</v>
      </c>
      <c r="I122" s="45" t="s">
        <v>141</v>
      </c>
      <c r="J122" s="13"/>
      <c r="L122" s="2"/>
    </row>
    <row r="123" spans="1:12" ht="18.75" x14ac:dyDescent="0.25">
      <c r="A123" s="47"/>
      <c r="B123" s="22"/>
      <c r="C123" s="22"/>
      <c r="D123" s="30"/>
      <c r="E123" s="46"/>
      <c r="F123" s="46"/>
      <c r="G123" s="12"/>
      <c r="H123" s="59"/>
      <c r="I123" s="60">
        <f>SUM(I119:I122)</f>
        <v>18341.400000000001</v>
      </c>
      <c r="J123" s="13"/>
      <c r="L123" s="2"/>
    </row>
    <row r="124" spans="1:12" ht="18.75" x14ac:dyDescent="0.3">
      <c r="A124" s="68" t="s">
        <v>84</v>
      </c>
      <c r="B124" s="69"/>
      <c r="C124" s="69"/>
      <c r="D124" s="69"/>
      <c r="E124" s="69"/>
      <c r="F124" s="69"/>
      <c r="G124" s="70"/>
      <c r="H124" s="25"/>
      <c r="I124" s="25"/>
      <c r="J124" s="25"/>
      <c r="K124" s="2"/>
      <c r="L124" s="2"/>
    </row>
    <row r="125" spans="1:12" ht="48" x14ac:dyDescent="0.3">
      <c r="A125" s="6" t="s">
        <v>67</v>
      </c>
      <c r="B125" s="6"/>
      <c r="C125" s="4"/>
      <c r="D125" s="15" t="s">
        <v>85</v>
      </c>
      <c r="E125" s="41" t="s">
        <v>141</v>
      </c>
      <c r="F125" s="41" t="s">
        <v>141</v>
      </c>
      <c r="G125" s="13" t="s">
        <v>30</v>
      </c>
      <c r="H125" s="41" t="s">
        <v>141</v>
      </c>
      <c r="I125" s="41" t="s">
        <v>141</v>
      </c>
      <c r="J125" s="5"/>
      <c r="L125" s="2"/>
    </row>
    <row r="126" spans="1:12" ht="32.25" x14ac:dyDescent="0.3">
      <c r="A126" s="6"/>
      <c r="B126" s="6"/>
      <c r="C126" s="5"/>
      <c r="D126" s="40" t="s">
        <v>109</v>
      </c>
      <c r="E126" s="41">
        <v>1</v>
      </c>
      <c r="F126" s="41">
        <v>1</v>
      </c>
      <c r="G126" s="13" t="s">
        <v>110</v>
      </c>
      <c r="H126" s="41">
        <v>24150</v>
      </c>
      <c r="I126" s="45">
        <f>F126*H126</f>
        <v>24150</v>
      </c>
      <c r="J126" s="39" t="s">
        <v>118</v>
      </c>
      <c r="L126" s="2"/>
    </row>
    <row r="127" spans="1:12" ht="18.75" x14ac:dyDescent="0.3">
      <c r="A127" s="28"/>
      <c r="B127" s="29"/>
      <c r="C127" s="22"/>
      <c r="D127" s="30"/>
      <c r="E127" s="46"/>
      <c r="F127" s="46"/>
      <c r="G127" s="31"/>
      <c r="H127" s="59"/>
      <c r="I127" s="60">
        <f>SUM(I126:I126)</f>
        <v>24150</v>
      </c>
      <c r="J127" s="39"/>
      <c r="L127" s="2"/>
    </row>
    <row r="128" spans="1:12" ht="18.75" x14ac:dyDescent="0.3">
      <c r="A128" s="68" t="s">
        <v>98</v>
      </c>
      <c r="B128" s="69"/>
      <c r="C128" s="69"/>
      <c r="D128" s="69"/>
      <c r="E128" s="69"/>
      <c r="F128" s="69"/>
      <c r="G128" s="70"/>
      <c r="H128" s="68"/>
      <c r="I128" s="69"/>
      <c r="J128" s="69"/>
      <c r="L128" s="2"/>
    </row>
    <row r="129" spans="1:12" ht="32.25" x14ac:dyDescent="0.3">
      <c r="A129" s="34" t="s">
        <v>149</v>
      </c>
      <c r="B129" s="24"/>
      <c r="C129" s="24"/>
      <c r="D129" s="40" t="s">
        <v>135</v>
      </c>
      <c r="E129" s="13"/>
      <c r="F129" s="13">
        <f>1</f>
        <v>1</v>
      </c>
      <c r="G129" s="13" t="s">
        <v>136</v>
      </c>
      <c r="H129" s="13">
        <f>800/F129</f>
        <v>800</v>
      </c>
      <c r="I129" s="54">
        <f t="shared" ref="I129:I132" si="8">F129*H129</f>
        <v>800</v>
      </c>
      <c r="J129" s="13" t="s">
        <v>124</v>
      </c>
      <c r="L129" s="2"/>
    </row>
    <row r="130" spans="1:12" ht="48" x14ac:dyDescent="0.3">
      <c r="A130" s="24"/>
      <c r="B130" s="24"/>
      <c r="C130" s="24"/>
      <c r="D130" s="40" t="s">
        <v>137</v>
      </c>
      <c r="E130" s="41"/>
      <c r="F130" s="41"/>
      <c r="G130" s="13" t="s">
        <v>138</v>
      </c>
      <c r="H130" s="41"/>
      <c r="I130" s="53"/>
      <c r="J130" s="13"/>
      <c r="L130" s="2"/>
    </row>
    <row r="131" spans="1:12" ht="32.25" x14ac:dyDescent="0.3">
      <c r="A131" s="24"/>
      <c r="B131" s="24"/>
      <c r="C131" s="24"/>
      <c r="D131" s="40" t="s">
        <v>173</v>
      </c>
      <c r="E131" s="13"/>
      <c r="F131" s="13">
        <f>210+60+60</f>
        <v>330</v>
      </c>
      <c r="G131" s="13" t="s">
        <v>139</v>
      </c>
      <c r="H131" s="33">
        <f>(9624+2750+2750)/F131</f>
        <v>45.830303030303028</v>
      </c>
      <c r="I131" s="54">
        <f t="shared" si="8"/>
        <v>15124</v>
      </c>
      <c r="J131" s="13" t="s">
        <v>124</v>
      </c>
      <c r="L131" s="2"/>
    </row>
    <row r="132" spans="1:12" ht="32.25" x14ac:dyDescent="0.3">
      <c r="A132" s="24"/>
      <c r="B132" s="24"/>
      <c r="C132" s="24"/>
      <c r="D132" s="40" t="s">
        <v>174</v>
      </c>
      <c r="E132" s="13"/>
      <c r="F132" s="13">
        <f>90</f>
        <v>90</v>
      </c>
      <c r="G132" s="13" t="s">
        <v>139</v>
      </c>
      <c r="H132" s="33">
        <f>4125/F132</f>
        <v>45.833333333333336</v>
      </c>
      <c r="I132" s="54">
        <f t="shared" si="8"/>
        <v>4125</v>
      </c>
      <c r="J132" s="13" t="s">
        <v>124</v>
      </c>
      <c r="L132" s="2"/>
    </row>
    <row r="133" spans="1:12" ht="18.75" x14ac:dyDescent="0.3">
      <c r="A133" s="24"/>
      <c r="B133" s="24"/>
      <c r="C133" s="24"/>
      <c r="D133" s="40" t="s">
        <v>195</v>
      </c>
      <c r="E133" s="41"/>
      <c r="F133" s="41">
        <v>1</v>
      </c>
      <c r="G133" s="13" t="s">
        <v>31</v>
      </c>
      <c r="H133" s="41">
        <f>18778.2/F133</f>
        <v>18778.2</v>
      </c>
      <c r="I133" s="52">
        <f>F133*H133</f>
        <v>18778.2</v>
      </c>
      <c r="J133" s="13" t="s">
        <v>123</v>
      </c>
      <c r="L133" s="2"/>
    </row>
    <row r="134" spans="1:12" ht="18.75" x14ac:dyDescent="0.3">
      <c r="A134" s="34"/>
      <c r="B134" s="14"/>
      <c r="C134" s="14"/>
      <c r="D134" s="43"/>
      <c r="E134" s="14"/>
      <c r="F134" s="14"/>
      <c r="G134" s="38"/>
      <c r="H134" s="14"/>
      <c r="I134" s="55">
        <f>SUM(I129:I133)</f>
        <v>38827.199999999997</v>
      </c>
      <c r="J134" s="14"/>
      <c r="L134" s="2"/>
    </row>
    <row r="135" spans="1:12" ht="18.75" x14ac:dyDescent="0.3">
      <c r="A135" s="58" t="s">
        <v>179</v>
      </c>
      <c r="B135" s="14"/>
      <c r="C135" s="14"/>
      <c r="D135" s="43"/>
      <c r="E135" s="14"/>
      <c r="F135" s="14"/>
      <c r="G135" s="38"/>
      <c r="H135" s="14"/>
      <c r="I135" s="57">
        <f>I5+I6+I18+I20+I21+I29+I32+I39+I40+I41+I42+I43+I44+I45+I51+I52+I54+I55+I62+I63+I64+I65+I66+I67+I68+I69+I70+I71+I73+I79+I80+I81+I83+I84+I89+I90+I91+I93+I98+I103+I107+I109+I120+I129+I130+I131+I132+I133</f>
        <v>1152192.1999999997</v>
      </c>
      <c r="J135" s="14"/>
      <c r="L135" s="2"/>
    </row>
    <row r="136" spans="1:12" ht="15.75" x14ac:dyDescent="0.25">
      <c r="A136" s="51" t="s">
        <v>172</v>
      </c>
      <c r="B136" s="25"/>
      <c r="C136" s="25"/>
      <c r="D136" s="43"/>
      <c r="E136" s="13"/>
      <c r="F136" s="13"/>
      <c r="G136" s="38"/>
      <c r="H136" s="13"/>
      <c r="I136" s="61">
        <f>I16+I37+I56+I76+I86+I95+I101+I113+I117+I123+I127+I134</f>
        <v>1789776.5999999996</v>
      </c>
      <c r="J136" s="14"/>
      <c r="K136" s="2"/>
      <c r="L136" s="2"/>
    </row>
    <row r="137" spans="1:12" ht="99.75" customHeight="1" x14ac:dyDescent="0.25">
      <c r="A137" s="65" t="s">
        <v>105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2"/>
      <c r="L137" s="2"/>
    </row>
    <row r="138" spans="1:12" ht="15.75" x14ac:dyDescent="0.25">
      <c r="A138" s="2"/>
      <c r="B138" s="2"/>
      <c r="C138" s="2"/>
      <c r="D138" s="16"/>
      <c r="E138" s="16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6"/>
      <c r="E139" s="16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6"/>
      <c r="E140" s="16"/>
      <c r="F140" s="56"/>
      <c r="G140" s="2"/>
      <c r="H140" s="2"/>
      <c r="I140" s="56"/>
      <c r="J140" s="56"/>
      <c r="K140" s="2"/>
      <c r="L140" s="2"/>
    </row>
    <row r="141" spans="1:12" ht="15.75" x14ac:dyDescent="0.25">
      <c r="A141" s="2"/>
      <c r="B141" s="2"/>
      <c r="C141" s="2"/>
      <c r="D141" s="16"/>
      <c r="E141" s="16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6"/>
      <c r="E142" s="16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6"/>
      <c r="E143" s="16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6"/>
      <c r="E144" s="16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6"/>
      <c r="E145" s="16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6"/>
      <c r="E146" s="16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6"/>
      <c r="E147" s="16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</sheetData>
  <mergeCells count="16">
    <mergeCell ref="A137:J137"/>
    <mergeCell ref="A2:J2"/>
    <mergeCell ref="A128:G128"/>
    <mergeCell ref="H128:J128"/>
    <mergeCell ref="I1:J1"/>
    <mergeCell ref="A87:G87"/>
    <mergeCell ref="A102:G102"/>
    <mergeCell ref="A124:G124"/>
    <mergeCell ref="A38:G38"/>
    <mergeCell ref="A17:G17"/>
    <mergeCell ref="A4:G4"/>
    <mergeCell ref="A114:G114"/>
    <mergeCell ref="A57:G57"/>
    <mergeCell ref="A77:G77"/>
    <mergeCell ref="A96:G96"/>
    <mergeCell ref="A118:G118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2025-01-30T07:39:39Z</cp:lastPrinted>
  <dcterms:created xsi:type="dcterms:W3CDTF">2017-05-29T12:14:13Z</dcterms:created>
  <dcterms:modified xsi:type="dcterms:W3CDTF">2025-03-14T04:29:17Z</dcterms:modified>
</cp:coreProperties>
</file>