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57" i="1" l="1"/>
  <c r="H57" i="1" s="1"/>
  <c r="F139" i="1"/>
  <c r="H139" i="1" s="1"/>
  <c r="F28" i="1"/>
  <c r="H28" i="1" s="1"/>
  <c r="F27" i="1"/>
  <c r="H27" i="1" s="1"/>
  <c r="F26" i="1"/>
  <c r="H26" i="1" s="1"/>
  <c r="F60" i="1"/>
  <c r="H60" i="1" s="1"/>
  <c r="F72" i="1"/>
  <c r="H72" i="1" s="1"/>
  <c r="F70" i="1"/>
  <c r="H70" i="1" s="1"/>
  <c r="F47" i="1"/>
  <c r="H47" i="1" s="1"/>
  <c r="F159" i="1"/>
  <c r="H159" i="1" s="1"/>
  <c r="F105" i="1"/>
  <c r="H105" i="1" s="1"/>
  <c r="F104" i="1"/>
  <c r="H104" i="1" s="1"/>
  <c r="F101" i="1"/>
  <c r="F113" i="1"/>
  <c r="F121" i="1"/>
  <c r="H121" i="1" s="1"/>
  <c r="F123" i="1"/>
  <c r="H123" i="1" s="1"/>
  <c r="F140" i="1"/>
  <c r="H140" i="1" s="1"/>
  <c r="F137" i="1"/>
  <c r="H137" i="1" s="1"/>
  <c r="F88" i="1"/>
  <c r="H88" i="1" s="1"/>
  <c r="I88" i="1" l="1"/>
  <c r="I139" i="1"/>
  <c r="H101" i="1"/>
  <c r="I101" i="1" s="1"/>
  <c r="H113" i="1"/>
  <c r="I113" i="1" s="1"/>
  <c r="F62" i="1"/>
  <c r="H62" i="1" s="1"/>
  <c r="H29" i="1"/>
  <c r="I29" i="1" s="1"/>
  <c r="F43" i="1" l="1"/>
  <c r="H43" i="1" s="1"/>
  <c r="H50" i="1"/>
  <c r="F49" i="1"/>
  <c r="H49" i="1" s="1"/>
  <c r="F89" i="1" l="1"/>
  <c r="H89" i="1" s="1"/>
  <c r="F77" i="1"/>
  <c r="H77" i="1" s="1"/>
  <c r="H162" i="1"/>
  <c r="I49" i="1"/>
  <c r="F76" i="1"/>
  <c r="H76" i="1" s="1"/>
  <c r="I76" i="1" s="1"/>
  <c r="F51" i="1"/>
  <c r="H51" i="1" s="1"/>
  <c r="F40" i="1"/>
  <c r="H40" i="1" s="1"/>
  <c r="F53" i="1"/>
  <c r="H53" i="1" s="1"/>
  <c r="F54" i="1"/>
  <c r="H54" i="1" s="1"/>
  <c r="H131" i="1"/>
  <c r="I131" i="1" s="1"/>
  <c r="F133" i="1"/>
  <c r="H133" i="1" s="1"/>
  <c r="F132" i="1"/>
  <c r="H132" i="1" s="1"/>
  <c r="H161" i="1"/>
  <c r="H84" i="1"/>
  <c r="I84" i="1" s="1"/>
  <c r="H83" i="1"/>
  <c r="I83" i="1" s="1"/>
  <c r="H67" i="1"/>
  <c r="H66" i="1"/>
  <c r="I50" i="1"/>
  <c r="H65" i="1"/>
  <c r="H64" i="1"/>
  <c r="H61" i="1"/>
  <c r="F59" i="1"/>
  <c r="H59" i="1" s="1"/>
  <c r="F71" i="1"/>
  <c r="H71" i="1" s="1"/>
  <c r="F73" i="1"/>
  <c r="H73" i="1" s="1"/>
  <c r="F135" i="1"/>
  <c r="H135" i="1" s="1"/>
  <c r="H46" i="1"/>
  <c r="I46" i="1" s="1"/>
  <c r="I28" i="1"/>
  <c r="I26" i="1"/>
  <c r="I51" i="1" l="1"/>
  <c r="I53" i="1"/>
  <c r="I77" i="1"/>
  <c r="F134" i="1"/>
  <c r="H134" i="1" s="1"/>
  <c r="H98" i="1"/>
  <c r="F90" i="1"/>
  <c r="H90" i="1" s="1"/>
  <c r="F143" i="1"/>
  <c r="H143" i="1" s="1"/>
  <c r="H116" i="1"/>
  <c r="F44" i="1" l="1"/>
  <c r="H44" i="1" s="1"/>
  <c r="F55" i="1"/>
  <c r="H55" i="1" s="1"/>
  <c r="F164" i="1"/>
  <c r="H97" i="1"/>
  <c r="I97" i="1" s="1"/>
  <c r="H164" i="1" l="1"/>
  <c r="I164" i="1" s="1"/>
  <c r="H48" i="1"/>
  <c r="F91" i="1"/>
  <c r="H91" i="1" s="1"/>
  <c r="H163" i="1" l="1"/>
  <c r="F42" i="1"/>
  <c r="H42" i="1" s="1"/>
  <c r="F24" i="1"/>
  <c r="H24" i="1" s="1"/>
  <c r="F41" i="1"/>
  <c r="H41" i="1" s="1"/>
  <c r="F93" i="1"/>
  <c r="H93" i="1" s="1"/>
  <c r="H39" i="1" l="1"/>
  <c r="H82" i="1"/>
  <c r="H81" i="1"/>
  <c r="I24" i="1" l="1"/>
  <c r="F158" i="1" l="1"/>
  <c r="H158" i="1" s="1"/>
  <c r="H157" i="1"/>
  <c r="F160" i="1"/>
  <c r="H160" i="1" s="1"/>
  <c r="I143" i="1"/>
  <c r="F165" i="1" l="1"/>
  <c r="H165" i="1" s="1"/>
  <c r="F45" i="1"/>
  <c r="H45" i="1" s="1"/>
  <c r="F106" i="1"/>
  <c r="H106" i="1" s="1"/>
  <c r="F38" i="1"/>
  <c r="H38" i="1" s="1"/>
  <c r="F103" i="1"/>
  <c r="H103" i="1" s="1"/>
  <c r="F95" i="1"/>
  <c r="H95" i="1" s="1"/>
  <c r="F94" i="1"/>
  <c r="H94" i="1" s="1"/>
  <c r="I47" i="1" l="1"/>
  <c r="I103" i="1" l="1"/>
  <c r="I98" i="1" l="1"/>
  <c r="I45" i="1" l="1"/>
  <c r="I48" i="1"/>
  <c r="I38" i="1"/>
  <c r="I163" i="1" l="1"/>
  <c r="I90" i="1" l="1"/>
  <c r="I162" i="1"/>
  <c r="I94" i="1"/>
  <c r="I95" i="1" l="1"/>
  <c r="I55" i="1" l="1"/>
  <c r="I62" i="1"/>
  <c r="I134" i="1" l="1"/>
  <c r="I161" i="1"/>
  <c r="I66" i="1"/>
  <c r="I64" i="1"/>
  <c r="I61" i="1"/>
  <c r="I72" i="1"/>
  <c r="I70" i="1"/>
  <c r="I41" i="1"/>
  <c r="I89" i="1"/>
  <c r="F87" i="1"/>
  <c r="H87" i="1" s="1"/>
  <c r="F86" i="1"/>
  <c r="H86" i="1" s="1"/>
  <c r="I54" i="1"/>
  <c r="I40" i="1"/>
  <c r="I39" i="1"/>
  <c r="I73" i="1" l="1"/>
  <c r="I93" i="1"/>
  <c r="I116" i="1"/>
  <c r="I71" i="1"/>
  <c r="I60" i="1"/>
  <c r="I65" i="1"/>
  <c r="I42" i="1"/>
  <c r="I82" i="1"/>
  <c r="I81" i="1"/>
  <c r="I67" i="1"/>
  <c r="I59" i="1"/>
  <c r="I57" i="1"/>
  <c r="I133" i="1"/>
  <c r="I158" i="1"/>
  <c r="F85" i="1"/>
  <c r="H85" i="1" s="1"/>
  <c r="I157" i="1"/>
  <c r="I119" i="1" l="1"/>
  <c r="I160" i="1"/>
  <c r="I159" i="1"/>
  <c r="I27" i="1" l="1"/>
  <c r="I43" i="1"/>
  <c r="I132" i="1"/>
  <c r="I44" i="1"/>
  <c r="I91" i="1"/>
  <c r="I123" i="1"/>
  <c r="I121" i="1"/>
  <c r="I135" i="1"/>
  <c r="I78" i="1" l="1"/>
  <c r="I14" i="1"/>
  <c r="I165" i="1"/>
  <c r="I36" i="1"/>
  <c r="I106" i="1"/>
  <c r="I105" i="1"/>
  <c r="I104" i="1"/>
  <c r="I167" i="1" l="1"/>
  <c r="I166" i="1"/>
  <c r="I111" i="1"/>
  <c r="I140" i="1"/>
  <c r="I154" i="1"/>
  <c r="I155" i="1" s="1"/>
  <c r="I125" i="1"/>
  <c r="I85" i="1" l="1"/>
  <c r="I87" i="1" l="1"/>
  <c r="I86" i="1"/>
  <c r="I137" i="1"/>
  <c r="I141" i="1" s="1"/>
  <c r="I99" i="1" l="1"/>
  <c r="I147" i="1"/>
  <c r="I151" i="1" s="1"/>
  <c r="I144" i="1"/>
  <c r="I145" i="1" s="1"/>
  <c r="I168" i="1" l="1"/>
</calcChain>
</file>

<file path=xl/sharedStrings.xml><?xml version="1.0" encoding="utf-8"?>
<sst xmlns="http://schemas.openxmlformats.org/spreadsheetml/2006/main" count="589" uniqueCount="245">
  <si>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</si>
  <si>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</si>
  <si>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</si>
  <si>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</si>
  <si>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</si>
  <si>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</si>
  <si>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</si>
  <si>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</si>
  <si>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</si>
  <si>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</si>
  <si>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</si>
  <si>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</si>
  <si>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</si>
  <si>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</si>
  <si>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</si>
  <si>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</si>
  <si>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</si>
  <si>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</si>
  <si>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</si>
  <si>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</si>
  <si>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</si>
  <si>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</si>
  <si>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</si>
  <si>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</si>
  <si>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</si>
  <si>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</si>
  <si>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</si>
  <si>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</si>
  <si>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</si>
  <si>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</si>
  <si>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</si>
  <si>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</si>
  <si>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</si>
  <si>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</si>
  <si>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</si>
  <si>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</si>
  <si>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</si>
  <si>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</si>
  <si>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</si>
  <si>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</si>
  <si>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</si>
  <si>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</si>
  <si>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</si>
  <si>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</si>
  <si>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</si>
  <si>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</si>
  <si>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</si>
  <si>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</si>
  <si>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</si>
  <si>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</si>
  <si>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</si>
  <si>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</si>
  <si>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</si>
  <si>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</si>
  <si>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</si>
  <si>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</si>
  <si>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</si>
  <si>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</si>
  <si>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</si>
  <si>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</si>
  <si>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</si>
  <si>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</si>
  <si>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</si>
  <si>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</si>
  <si>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</si>
  <si>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</si>
  <si>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</si>
  <si>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</si>
  <si>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</si>
  <si>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</si>
  <si>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</si>
  <si>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</si>
  <si>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</si>
  <si>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</si>
  <si>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</si>
  <si>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</si>
  <si>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</si>
  <si>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</si>
  <si>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</si>
  <si>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</si>
  <si>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</si>
  <si>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</si>
  <si>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</si>
  <si>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</si>
  <si>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</si>
  <si>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</si>
  <si>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</si>
  <si>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</si>
  <si>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</si>
  <si>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</si>
  <si>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</si>
  <si>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</si>
  <si>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</si>
  <si>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</si>
  <si>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</si>
  <si>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</si>
  <si>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</si>
  <si>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</si>
  <si>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</si>
  <si>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</si>
  <si>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</si>
  <si>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</si>
  <si>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</si>
  <si>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</si>
  <si>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</si>
  <si>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</si>
  <si>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</si>
  <si>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</si>
  <si>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</si>
  <si>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</si>
  <si>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</si>
  <si>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</si>
  <si>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</si>
  <si>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</si>
  <si>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</si>
  <si>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</si>
  <si>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</si>
  <si>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</si>
  <si>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</si>
  <si>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</si>
  <si>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</si>
  <si>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</si>
  <si>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</si>
  <si>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</si>
  <si>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</si>
  <si>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</si>
  <si>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</si>
  <si>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</si>
  <si>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</si>
  <si>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</si>
  <si>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</si>
  <si>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</si>
  <si>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</si>
  <si>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</si>
  <si>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</si>
  <si>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</si>
  <si>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</si>
  <si>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</si>
  <si>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</si>
  <si>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</si>
  <si>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</si>
  <si>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</si>
  <si>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</si>
  <si>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</si>
  <si>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</si>
  <si>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</si>
  <si>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</si>
  <si>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</si>
  <si>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</si>
  <si>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</si>
  <si>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</si>
  <si>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</si>
  <si>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</si>
  <si>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</si>
  <si>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</si>
  <si>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</si>
  <si>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демонтаж грязевиков</t>
  </si>
  <si>
    <t>МОП</t>
  </si>
  <si>
    <t>смена вентилей и клапанов обратных муфтовых диам. до 20мм</t>
  </si>
  <si>
    <t>смена кабелей двух-четырехжильных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</si>
  <si>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</si>
  <si>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</si>
  <si>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</si>
  <si>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</si>
  <si>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</si>
  <si>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</si>
  <si>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ламп накаливания</t>
  </si>
  <si>
    <t>ремонт и окраска дверей (восстановление фурнитуры и остекления) петли</t>
  </si>
  <si>
    <t>ремонт межпанельных швов без вскрытия</t>
  </si>
  <si>
    <t>ремонт мягкого покрытия кровли в 1 слой</t>
  </si>
  <si>
    <t xml:space="preserve"> смена кранов на шаровые краны диам.32мм</t>
  </si>
  <si>
    <t>установка фильтра диам. 80мм</t>
  </si>
  <si>
    <t>ремонт бетонных ступеней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</si>
  <si>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</si>
  <si>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</si>
  <si>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</si>
  <si>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керамических коврово-мозаичных плиток в полах до 10шт</t>
  </si>
  <si>
    <t>коробов пластмассовые шириной до 40мм</t>
  </si>
  <si>
    <t>коробов пластмассовые шириной до 63мм</t>
  </si>
  <si>
    <t>установка и крепление наличников</t>
  </si>
  <si>
    <t>м.п.</t>
  </si>
  <si>
    <t xml:space="preserve"> смена кранов на шаровые краны диам.15,32мм</t>
  </si>
  <si>
    <t>ремонт штукатурки внутри здания откосов по камню и бетону раствором</t>
  </si>
  <si>
    <t xml:space="preserve">очистка вручную поверхности потолков от красок </t>
  </si>
  <si>
    <t>окраска водно-дисперсионными акриловыми составами улучшенная по штукатурке потолков</t>
  </si>
  <si>
    <t xml:space="preserve">очистка вручную поверхности стен от красок </t>
  </si>
  <si>
    <t>окраска водно-дисперсионными акриловыми составами улучшенная по штукатурке стен</t>
  </si>
  <si>
    <t>улучшенная масляная окраска ранее окрашенных стен за 2 раза с расчисткой старой краски до 10%(сапожок)</t>
  </si>
  <si>
    <t>ремонт металлических решеток ограждений</t>
  </si>
  <si>
    <t>укрепление стоек металлических решеток ограждений</t>
  </si>
  <si>
    <t>окраска масляными составами ранее окрашенных металлических решеток и оград без рельефа за 2 раза</t>
  </si>
  <si>
    <t>простая масляная окраска ранее окрашенных стен(торцы лестничных маршей)</t>
  </si>
  <si>
    <t>т</t>
  </si>
  <si>
    <t>погрузка и вывоз мусора после ремонта подъезда</t>
  </si>
  <si>
    <t xml:space="preserve">демонтаж светильников </t>
  </si>
  <si>
    <t>монтаж светильников со светодиодными лампами</t>
  </si>
  <si>
    <t>установка фильтров диаметром 50мм</t>
  </si>
  <si>
    <t xml:space="preserve"> смена кранов на шаровые краны диам15,20,32мм</t>
  </si>
  <si>
    <t>компл.</t>
  </si>
  <si>
    <t>ремонт и востановление уплотнения стыков прокладками ПРП в 1 ряд в стенах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</si>
  <si>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</si>
  <si>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ул.Заречная, дом 9  на 2024 г.
</t>
  </si>
  <si>
    <t>установка приборов оконных</t>
  </si>
  <si>
    <t>смена дверных приборов:шпингалеты</t>
  </si>
  <si>
    <t>изготовление экранов на регистры</t>
  </si>
  <si>
    <t>установка декоративных экранов</t>
  </si>
  <si>
    <t>смена дверных приборов:ручки-скобы</t>
  </si>
  <si>
    <t>укрепление дверных коробок</t>
  </si>
  <si>
    <t>установка рейки-добора</t>
  </si>
  <si>
    <t>коврик универсальный</t>
  </si>
  <si>
    <t>полотно</t>
  </si>
  <si>
    <t>демонтаж дверных коробок</t>
  </si>
  <si>
    <t>лифты</t>
  </si>
  <si>
    <t>ремонт двигателя лифта подъезд №5</t>
  </si>
  <si>
    <t>изоляция трубопроводов изделиями из вспененного каучука,вспененного полиэтилена насухо трубками</t>
  </si>
  <si>
    <t>замена редуктора</t>
  </si>
  <si>
    <t>прочистка  фильтров диаметром 100мм</t>
  </si>
  <si>
    <t>установка фланцевых соединений на стальных трубопроводах диам.50мм</t>
  </si>
  <si>
    <t>ремонт штукатурки фасадов сухой растворной смесью</t>
  </si>
  <si>
    <t>огрунтовка ранее окрашенных фасадов под окраску перхлорвиниловыми красками простых с земли и лесов</t>
  </si>
  <si>
    <t>окраска перхлорвиниловыми красками по подготовленной поверхности фасадов простых за 1 раз с земли и лесов</t>
  </si>
  <si>
    <t>установка дверного доводчика к металлическим дверям</t>
  </si>
  <si>
    <t>окраска масляными составами ранее окрашенных поверхностей труб стальных за 2 раза</t>
  </si>
  <si>
    <t xml:space="preserve">окраска масляными составами ранее окрашенных поверхностей радиаторов  и ребристых труб отопления за 2 раза </t>
  </si>
  <si>
    <t>смена дверных приборов замки врезные (электрические щитки квартирные</t>
  </si>
  <si>
    <t xml:space="preserve">улучшенная масляная окраска ранее окрашенных стен за два раза с расчисткой старой краски до 10%(откосы </t>
  </si>
  <si>
    <t>Установка ограничителей открывания</t>
  </si>
  <si>
    <t>4  квартал</t>
  </si>
  <si>
    <t>установка дверных полотен внуренних межкомнатных</t>
  </si>
  <si>
    <t>установка: в готовые гнезда дверных замков с ручками</t>
  </si>
  <si>
    <t>Ремонт дверного доводчика к металлическим дверям</t>
  </si>
  <si>
    <t>демонтаж ящиков почтовых стальных, окрашенных эмалью с креплением к стенам лестничных клеток</t>
  </si>
  <si>
    <t>установка ящиков почтовых стальных, окрашенных эмалью с креплением к стенам лестничных клеток</t>
  </si>
  <si>
    <t>Сверление отверстий в кирпичных стенах электроперфоратором диаметром до 20 мм, толщина стен 0,5 кирпичас установкой информационного щита</t>
  </si>
  <si>
    <t>установка шайб</t>
  </si>
  <si>
    <t xml:space="preserve">шт </t>
  </si>
  <si>
    <t>улучшенная масляная окраска ранее окрашенных дверей за два раза с расчисткой старой краски до 10%(дверь в мусорокамеру</t>
  </si>
  <si>
    <t>окраска масляными составами ранее окрашенных больших металлических поверхностей(кроме крыш) за два раза</t>
  </si>
  <si>
    <t>окраска фасадов акриловыми составами  вручную с подготовкой поверхности</t>
  </si>
  <si>
    <t>декоративная отделка поверхностей стен(рисунок)</t>
  </si>
  <si>
    <t>слив и наполнение водой системы отопления без осмотра системы</t>
  </si>
  <si>
    <t>1000м3 объема здания</t>
  </si>
  <si>
    <t>покрытие поверхностей грунтовкой глубокого проникновениза 1 раз потолков</t>
  </si>
  <si>
    <t>покрытие поверхностей грунтовкой глубокого проникновениза 1 раз стен</t>
  </si>
  <si>
    <t>смена выключателей нагрузки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</si>
</sst>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2" fontId="8" fillId="3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2" fontId="8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8" fillId="2" borderId="4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topLeftCell="D155" zoomScale="91" zoomScaleNormal="91" workbookViewId="0">
      <selection activeCell="L185" sqref="L18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8.85546875" style="1"/>
    <col min="12" max="12" width="11.28515625" style="1" bestFit="1" customWidth="1"/>
    <col min="13" max="16384" width="8.85546875" style="1"/>
  </cols>
  <sheetData>
    <row r="1" spans="1:12" ht="51.75" customHeight="1" x14ac:dyDescent="0.25">
      <c r="I1" s="87" t="s">
        <v>98</v>
      </c>
      <c r="J1" s="87"/>
    </row>
    <row r="2" spans="1:12" ht="70.5" customHeight="1" x14ac:dyDescent="0.25">
      <c r="A2" s="80" t="s">
        <v>201</v>
      </c>
      <c r="B2" s="81"/>
      <c r="C2" s="81"/>
      <c r="D2" s="81"/>
      <c r="E2" s="81"/>
      <c r="F2" s="81"/>
      <c r="G2" s="81"/>
      <c r="H2" s="81"/>
      <c r="I2" s="81"/>
      <c r="J2" s="81"/>
      <c r="K2" s="2"/>
      <c r="L2" s="2"/>
    </row>
    <row r="3" spans="1:12" ht="75" x14ac:dyDescent="0.25">
      <c r="A3" s="18" t="s">
        <v>83</v>
      </c>
      <c r="B3" s="3"/>
      <c r="C3" s="3"/>
      <c r="D3" s="18" t="s">
        <v>102</v>
      </c>
      <c r="E3" s="18" t="s">
        <v>106</v>
      </c>
      <c r="F3" s="19" t="s">
        <v>104</v>
      </c>
      <c r="G3" s="19" t="s">
        <v>82</v>
      </c>
      <c r="H3" s="19" t="s">
        <v>81</v>
      </c>
      <c r="I3" s="19" t="s">
        <v>103</v>
      </c>
      <c r="J3" s="19" t="s">
        <v>105</v>
      </c>
      <c r="K3" s="2"/>
      <c r="L3" s="2"/>
    </row>
    <row r="4" spans="1:12" ht="18.75" x14ac:dyDescent="0.3">
      <c r="A4" s="88" t="s">
        <v>89</v>
      </c>
      <c r="B4" s="89"/>
      <c r="C4" s="89"/>
      <c r="D4" s="89"/>
      <c r="E4" s="89"/>
      <c r="F4" s="89"/>
      <c r="G4" s="90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169</v>
      </c>
      <c r="E5" s="37" t="s">
        <v>141</v>
      </c>
      <c r="F5" s="37" t="s">
        <v>141</v>
      </c>
      <c r="G5" s="13" t="s">
        <v>115</v>
      </c>
      <c r="H5" s="37" t="s">
        <v>141</v>
      </c>
      <c r="I5" s="37" t="s">
        <v>141</v>
      </c>
      <c r="J5" s="13"/>
      <c r="K5" s="2"/>
      <c r="L5" s="2"/>
    </row>
    <row r="6" spans="1:12" ht="35.25" customHeight="1" x14ac:dyDescent="0.3">
      <c r="A6" s="6" t="s">
        <v>1</v>
      </c>
      <c r="B6" s="5"/>
      <c r="C6" s="4"/>
      <c r="D6" s="15" t="s">
        <v>155</v>
      </c>
      <c r="E6" s="37"/>
      <c r="F6" s="37"/>
      <c r="G6" s="13" t="s">
        <v>30</v>
      </c>
      <c r="H6" s="47"/>
      <c r="I6" s="47"/>
      <c r="J6" s="50"/>
      <c r="K6" s="51"/>
      <c r="L6" s="2"/>
    </row>
    <row r="7" spans="1:12" ht="28.5" customHeight="1" x14ac:dyDescent="0.3">
      <c r="A7" s="6" t="s">
        <v>2</v>
      </c>
      <c r="B7" s="5"/>
      <c r="C7" s="4"/>
      <c r="D7" s="15" t="s">
        <v>39</v>
      </c>
      <c r="E7" s="37" t="s">
        <v>141</v>
      </c>
      <c r="F7" s="37" t="s">
        <v>141</v>
      </c>
      <c r="G7" s="13" t="s">
        <v>30</v>
      </c>
      <c r="H7" s="47" t="s">
        <v>141</v>
      </c>
      <c r="I7" s="47" t="s">
        <v>141</v>
      </c>
      <c r="J7" s="50"/>
      <c r="K7" s="51"/>
      <c r="L7" s="2"/>
    </row>
    <row r="8" spans="1:12" ht="18.75" x14ac:dyDescent="0.3">
      <c r="A8" s="7" t="s">
        <v>3</v>
      </c>
      <c r="B8" s="5"/>
      <c r="C8" s="4"/>
      <c r="D8" s="15" t="s">
        <v>38</v>
      </c>
      <c r="E8" s="37" t="s">
        <v>141</v>
      </c>
      <c r="F8" s="37" t="s">
        <v>141</v>
      </c>
      <c r="G8" s="13" t="s">
        <v>30</v>
      </c>
      <c r="H8" s="47" t="s">
        <v>141</v>
      </c>
      <c r="I8" s="47" t="s">
        <v>141</v>
      </c>
      <c r="J8" s="50"/>
      <c r="K8" s="51"/>
      <c r="L8" s="2"/>
    </row>
    <row r="9" spans="1:12" ht="32.25" x14ac:dyDescent="0.3">
      <c r="A9" s="6" t="s">
        <v>4</v>
      </c>
      <c r="B9" s="5"/>
      <c r="C9" s="4"/>
      <c r="D9" s="15" t="s">
        <v>37</v>
      </c>
      <c r="E9" s="37" t="s">
        <v>141</v>
      </c>
      <c r="F9" s="37" t="s">
        <v>141</v>
      </c>
      <c r="G9" s="13" t="s">
        <v>30</v>
      </c>
      <c r="H9" s="47" t="s">
        <v>141</v>
      </c>
      <c r="I9" s="47" t="s">
        <v>141</v>
      </c>
      <c r="J9" s="50"/>
      <c r="K9" s="51"/>
      <c r="L9" s="2"/>
    </row>
    <row r="10" spans="1:12" ht="18.75" x14ac:dyDescent="0.3">
      <c r="A10" s="6" t="s">
        <v>5</v>
      </c>
      <c r="B10" s="5"/>
      <c r="C10" s="4"/>
      <c r="D10" s="4" t="s">
        <v>88</v>
      </c>
      <c r="E10" s="37"/>
      <c r="F10" s="37"/>
      <c r="G10" s="13" t="s">
        <v>31</v>
      </c>
      <c r="H10" s="47"/>
      <c r="I10" s="47"/>
      <c r="J10" s="50"/>
      <c r="K10" s="51"/>
      <c r="L10" s="2"/>
    </row>
    <row r="11" spans="1:12" ht="37.5" x14ac:dyDescent="0.3">
      <c r="A11" s="6" t="s">
        <v>6</v>
      </c>
      <c r="B11" s="5"/>
      <c r="C11" s="4"/>
      <c r="D11" s="4" t="s">
        <v>36</v>
      </c>
      <c r="E11" s="37" t="s">
        <v>141</v>
      </c>
      <c r="F11" s="37" t="s">
        <v>141</v>
      </c>
      <c r="G11" s="14" t="s">
        <v>31</v>
      </c>
      <c r="H11" s="47" t="s">
        <v>141</v>
      </c>
      <c r="I11" s="47" t="s">
        <v>141</v>
      </c>
      <c r="J11" s="50"/>
      <c r="K11" s="51"/>
      <c r="L11" s="2"/>
    </row>
    <row r="12" spans="1:12" ht="32.25" x14ac:dyDescent="0.3">
      <c r="A12" s="6" t="s">
        <v>64</v>
      </c>
      <c r="B12" s="5"/>
      <c r="C12" s="4"/>
      <c r="D12" s="15" t="s">
        <v>53</v>
      </c>
      <c r="E12" s="37" t="s">
        <v>141</v>
      </c>
      <c r="F12" s="37" t="s">
        <v>141</v>
      </c>
      <c r="G12" s="13" t="s">
        <v>30</v>
      </c>
      <c r="H12" s="47" t="s">
        <v>141</v>
      </c>
      <c r="I12" s="47" t="s">
        <v>141</v>
      </c>
      <c r="J12" s="50"/>
      <c r="K12" s="52"/>
      <c r="L12" s="2"/>
    </row>
    <row r="13" spans="1:12" ht="27" customHeight="1" x14ac:dyDescent="0.3">
      <c r="A13" s="6" t="s">
        <v>7</v>
      </c>
      <c r="B13" s="5"/>
      <c r="C13" s="4"/>
      <c r="D13" s="15" t="s">
        <v>34</v>
      </c>
      <c r="E13" s="37" t="s">
        <v>141</v>
      </c>
      <c r="F13" s="37" t="s">
        <v>141</v>
      </c>
      <c r="G13" s="13" t="s">
        <v>30</v>
      </c>
      <c r="H13" s="47" t="s">
        <v>141</v>
      </c>
      <c r="I13" s="47" t="s">
        <v>141</v>
      </c>
      <c r="J13" s="50"/>
      <c r="K13" s="51"/>
      <c r="L13" s="2"/>
    </row>
    <row r="14" spans="1:12" ht="27" customHeight="1" x14ac:dyDescent="0.3">
      <c r="A14" s="26"/>
      <c r="B14" s="20"/>
      <c r="C14" s="20"/>
      <c r="D14" s="28"/>
      <c r="E14" s="40"/>
      <c r="F14" s="40"/>
      <c r="G14" s="29"/>
      <c r="H14" s="47"/>
      <c r="I14" s="47">
        <f>SUM(I6:I13)</f>
        <v>0</v>
      </c>
      <c r="J14" s="50"/>
      <c r="K14" s="51"/>
      <c r="L14" s="2"/>
    </row>
    <row r="15" spans="1:12" ht="18.75" x14ac:dyDescent="0.3">
      <c r="A15" s="88" t="s">
        <v>57</v>
      </c>
      <c r="B15" s="89"/>
      <c r="C15" s="89"/>
      <c r="D15" s="89"/>
      <c r="E15" s="89"/>
      <c r="F15" s="89"/>
      <c r="G15" s="90"/>
      <c r="H15" s="53"/>
      <c r="I15" s="54"/>
      <c r="J15" s="50"/>
      <c r="K15" s="52"/>
      <c r="L15" s="2"/>
    </row>
    <row r="16" spans="1:12" ht="18.75" x14ac:dyDescent="0.3">
      <c r="A16" s="6" t="s">
        <v>19</v>
      </c>
      <c r="B16" s="5"/>
      <c r="C16" s="4"/>
      <c r="D16" s="4" t="s">
        <v>97</v>
      </c>
      <c r="E16" s="37"/>
      <c r="F16" s="37"/>
      <c r="G16" s="14" t="s">
        <v>55</v>
      </c>
      <c r="H16" s="47"/>
      <c r="I16" s="47"/>
      <c r="J16" s="50"/>
      <c r="K16" s="52"/>
      <c r="L16" s="2"/>
    </row>
    <row r="17" spans="1:12" ht="18.75" x14ac:dyDescent="0.3">
      <c r="A17" s="6" t="s">
        <v>13</v>
      </c>
      <c r="B17" s="5"/>
      <c r="C17" s="4"/>
      <c r="D17" s="4" t="s">
        <v>42</v>
      </c>
      <c r="E17" s="37" t="s">
        <v>141</v>
      </c>
      <c r="F17" s="37" t="s">
        <v>141</v>
      </c>
      <c r="G17" s="14" t="s">
        <v>54</v>
      </c>
      <c r="H17" s="47" t="s">
        <v>141</v>
      </c>
      <c r="I17" s="47" t="s">
        <v>141</v>
      </c>
      <c r="J17" s="50"/>
      <c r="K17" s="52"/>
      <c r="L17" s="2"/>
    </row>
    <row r="18" spans="1:12" ht="18.75" x14ac:dyDescent="0.3">
      <c r="A18" s="6" t="s">
        <v>9</v>
      </c>
      <c r="B18" s="5"/>
      <c r="C18" s="4"/>
      <c r="D18" s="4" t="s">
        <v>35</v>
      </c>
      <c r="E18" s="37" t="s">
        <v>141</v>
      </c>
      <c r="F18" s="37"/>
      <c r="G18" s="14" t="s">
        <v>54</v>
      </c>
      <c r="H18" s="55"/>
      <c r="I18" s="69"/>
      <c r="J18" s="50"/>
      <c r="K18" s="51"/>
      <c r="L18" s="2"/>
    </row>
    <row r="19" spans="1:12" ht="18.75" x14ac:dyDescent="0.3">
      <c r="A19" s="6" t="s">
        <v>10</v>
      </c>
      <c r="B19" s="5"/>
      <c r="C19" s="4"/>
      <c r="D19" s="4" t="s">
        <v>33</v>
      </c>
      <c r="E19" s="37"/>
      <c r="F19" s="37"/>
      <c r="G19" s="14" t="s">
        <v>54</v>
      </c>
      <c r="H19" s="55"/>
      <c r="I19" s="69"/>
      <c r="J19" s="50"/>
      <c r="K19" s="51"/>
      <c r="L19" s="2"/>
    </row>
    <row r="20" spans="1:12" ht="18.75" x14ac:dyDescent="0.3">
      <c r="A20" s="6" t="s">
        <v>11</v>
      </c>
      <c r="B20" s="5"/>
      <c r="C20" s="4"/>
      <c r="D20" s="4" t="s">
        <v>40</v>
      </c>
      <c r="E20" s="37" t="s">
        <v>141</v>
      </c>
      <c r="F20" s="37" t="s">
        <v>141</v>
      </c>
      <c r="G20" s="14" t="s">
        <v>54</v>
      </c>
      <c r="H20" s="47"/>
      <c r="I20" s="47" t="s">
        <v>141</v>
      </c>
      <c r="J20" s="50"/>
      <c r="K20" s="51"/>
      <c r="L20" s="2"/>
    </row>
    <row r="21" spans="1:12" ht="18.75" x14ac:dyDescent="0.3">
      <c r="A21" s="6"/>
      <c r="B21" s="5"/>
      <c r="C21" s="4"/>
      <c r="D21" s="4" t="s">
        <v>146</v>
      </c>
      <c r="E21" s="37" t="s">
        <v>141</v>
      </c>
      <c r="F21" s="37" t="s">
        <v>141</v>
      </c>
      <c r="G21" s="14" t="s">
        <v>147</v>
      </c>
      <c r="H21" s="47"/>
      <c r="I21" s="47" t="s">
        <v>141</v>
      </c>
      <c r="J21" s="50"/>
      <c r="K21" s="51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37" t="s">
        <v>141</v>
      </c>
      <c r="F22" s="37" t="s">
        <v>141</v>
      </c>
      <c r="G22" s="13" t="s">
        <v>30</v>
      </c>
      <c r="H22" s="47"/>
      <c r="I22" s="47" t="s">
        <v>141</v>
      </c>
      <c r="J22" s="50"/>
      <c r="K22" s="51"/>
      <c r="L22" s="2"/>
    </row>
    <row r="23" spans="1:12" ht="24.75" customHeight="1" x14ac:dyDescent="0.3">
      <c r="A23" s="6" t="s">
        <v>12</v>
      </c>
      <c r="B23" s="5"/>
      <c r="C23" s="4"/>
      <c r="D23" s="15" t="s">
        <v>41</v>
      </c>
      <c r="E23" s="37" t="s">
        <v>141</v>
      </c>
      <c r="F23" s="37" t="s">
        <v>141</v>
      </c>
      <c r="G23" s="14" t="s">
        <v>54</v>
      </c>
      <c r="H23" s="47"/>
      <c r="I23" s="47" t="s">
        <v>141</v>
      </c>
      <c r="J23" s="50"/>
      <c r="K23" s="51"/>
      <c r="L23" s="2"/>
    </row>
    <row r="24" spans="1:12" ht="24.75" customHeight="1" x14ac:dyDescent="0.3">
      <c r="A24" s="6"/>
      <c r="B24" s="5"/>
      <c r="C24" s="4"/>
      <c r="D24" s="15" t="s">
        <v>172</v>
      </c>
      <c r="E24" s="37"/>
      <c r="F24" s="37">
        <f>1+9</f>
        <v>10</v>
      </c>
      <c r="G24" s="14" t="s">
        <v>31</v>
      </c>
      <c r="H24" s="47">
        <f>(14038.8)/F24</f>
        <v>1403.8799999999999</v>
      </c>
      <c r="I24" s="69">
        <f t="shared" ref="I24:I29" si="0">F24*H24</f>
        <v>14038.8</v>
      </c>
      <c r="J24" s="50" t="s">
        <v>150</v>
      </c>
      <c r="K24" s="51"/>
      <c r="L24" s="2"/>
    </row>
    <row r="25" spans="1:12" ht="18.75" x14ac:dyDescent="0.3">
      <c r="A25" s="6" t="s">
        <v>56</v>
      </c>
      <c r="B25" s="5"/>
      <c r="C25" s="4"/>
      <c r="D25" s="15" t="s">
        <v>168</v>
      </c>
      <c r="E25" s="37"/>
      <c r="F25" s="37"/>
      <c r="G25" s="14" t="s">
        <v>30</v>
      </c>
      <c r="H25" s="47"/>
      <c r="I25" s="69"/>
      <c r="J25" s="50"/>
      <c r="K25" s="52"/>
      <c r="L25" s="2"/>
    </row>
    <row r="26" spans="1:12" ht="45" customHeight="1" x14ac:dyDescent="0.3">
      <c r="A26" s="6"/>
      <c r="B26" s="5"/>
      <c r="C26" s="4"/>
      <c r="D26" s="15" t="s">
        <v>218</v>
      </c>
      <c r="E26" s="37" t="s">
        <v>141</v>
      </c>
      <c r="F26" s="37">
        <f>19.4+6.5+10</f>
        <v>35.9</v>
      </c>
      <c r="G26" s="14" t="s">
        <v>115</v>
      </c>
      <c r="H26" s="55">
        <f>(19397.2+8670+8908)/F26</f>
        <v>1029.949860724234</v>
      </c>
      <c r="I26" s="69">
        <f t="shared" si="0"/>
        <v>36975.199999999997</v>
      </c>
      <c r="J26" s="50" t="s">
        <v>122</v>
      </c>
      <c r="K26" s="52"/>
      <c r="L26" s="2"/>
    </row>
    <row r="27" spans="1:12" ht="48" x14ac:dyDescent="0.3">
      <c r="A27" s="6"/>
      <c r="B27" s="5"/>
      <c r="C27" s="4"/>
      <c r="D27" s="15" t="s">
        <v>219</v>
      </c>
      <c r="E27" s="37"/>
      <c r="F27" s="37">
        <f>27.6+59</f>
        <v>86.6</v>
      </c>
      <c r="G27" s="14" t="s">
        <v>115</v>
      </c>
      <c r="H27" s="55">
        <f>(2571.8+6047.6)/F27</f>
        <v>99.531177829099335</v>
      </c>
      <c r="I27" s="69">
        <f t="shared" si="0"/>
        <v>8619.4000000000015</v>
      </c>
      <c r="J27" s="50" t="s">
        <v>122</v>
      </c>
      <c r="K27" s="52"/>
      <c r="L27" s="2"/>
    </row>
    <row r="28" spans="1:12" ht="63" customHeight="1" x14ac:dyDescent="0.3">
      <c r="A28" s="6"/>
      <c r="B28" s="5"/>
      <c r="C28" s="4"/>
      <c r="D28" s="15" t="s">
        <v>220</v>
      </c>
      <c r="E28" s="37"/>
      <c r="F28" s="37">
        <f>27.6+59</f>
        <v>86.6</v>
      </c>
      <c r="G28" s="14" t="s">
        <v>115</v>
      </c>
      <c r="H28" s="55">
        <f>(3994.6+21933)/F28</f>
        <v>299.39491916859123</v>
      </c>
      <c r="I28" s="69">
        <f t="shared" si="0"/>
        <v>25927.599999999999</v>
      </c>
      <c r="J28" s="50" t="s">
        <v>122</v>
      </c>
      <c r="K28" s="52"/>
      <c r="L28" s="2"/>
    </row>
    <row r="29" spans="1:12" ht="63" customHeight="1" x14ac:dyDescent="0.3">
      <c r="A29" s="6"/>
      <c r="B29" s="5"/>
      <c r="C29" s="4"/>
      <c r="D29" s="15" t="s">
        <v>238</v>
      </c>
      <c r="E29" s="37"/>
      <c r="F29" s="37">
        <v>45</v>
      </c>
      <c r="G29" s="14" t="s">
        <v>115</v>
      </c>
      <c r="H29" s="55">
        <f>16105.6/F29</f>
        <v>357.90222222222224</v>
      </c>
      <c r="I29" s="69">
        <f t="shared" si="0"/>
        <v>16105.6</v>
      </c>
      <c r="J29" s="50" t="s">
        <v>122</v>
      </c>
      <c r="K29" s="52"/>
      <c r="L29" s="2"/>
    </row>
    <row r="30" spans="1:12" ht="32.25" x14ac:dyDescent="0.3">
      <c r="A30" s="6" t="s">
        <v>58</v>
      </c>
      <c r="B30" s="5"/>
      <c r="C30" s="4"/>
      <c r="D30" s="15" t="s">
        <v>96</v>
      </c>
      <c r="E30" s="37" t="s">
        <v>141</v>
      </c>
      <c r="F30" s="37" t="s">
        <v>141</v>
      </c>
      <c r="G30" s="14" t="s">
        <v>54</v>
      </c>
      <c r="H30" s="47" t="s">
        <v>141</v>
      </c>
      <c r="I30" s="47" t="s">
        <v>141</v>
      </c>
      <c r="J30" s="50"/>
      <c r="K30" s="52"/>
      <c r="L30" s="2"/>
    </row>
    <row r="31" spans="1:12" ht="32.25" x14ac:dyDescent="0.3">
      <c r="A31" s="6" t="s">
        <v>14</v>
      </c>
      <c r="B31" s="5"/>
      <c r="C31" s="4"/>
      <c r="D31" s="15" t="s">
        <v>95</v>
      </c>
      <c r="E31" s="37" t="s">
        <v>141</v>
      </c>
      <c r="F31" s="37" t="s">
        <v>141</v>
      </c>
      <c r="G31" s="14" t="s">
        <v>55</v>
      </c>
      <c r="H31" s="47" t="s">
        <v>141</v>
      </c>
      <c r="I31" s="47" t="s">
        <v>141</v>
      </c>
      <c r="J31" s="50"/>
      <c r="K31" s="52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37" t="s">
        <v>141</v>
      </c>
      <c r="F32" s="37" t="s">
        <v>141</v>
      </c>
      <c r="G32" s="14" t="s">
        <v>55</v>
      </c>
      <c r="H32" s="47" t="s">
        <v>141</v>
      </c>
      <c r="I32" s="47" t="s">
        <v>141</v>
      </c>
      <c r="J32" s="50"/>
      <c r="K32" s="52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37" t="s">
        <v>141</v>
      </c>
      <c r="F33" s="37" t="s">
        <v>141</v>
      </c>
      <c r="G33" s="14" t="s">
        <v>54</v>
      </c>
      <c r="H33" s="47" t="s">
        <v>141</v>
      </c>
      <c r="I33" s="47" t="s">
        <v>141</v>
      </c>
      <c r="J33" s="50"/>
      <c r="K33" s="52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37" t="s">
        <v>141</v>
      </c>
      <c r="F34" s="37" t="s">
        <v>141</v>
      </c>
      <c r="G34" s="13" t="s">
        <v>30</v>
      </c>
      <c r="H34" s="47" t="s">
        <v>141</v>
      </c>
      <c r="I34" s="47" t="s">
        <v>141</v>
      </c>
      <c r="J34" s="50"/>
      <c r="K34" s="52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37" t="s">
        <v>141</v>
      </c>
      <c r="F35" s="37" t="s">
        <v>141</v>
      </c>
      <c r="G35" s="14" t="s">
        <v>55</v>
      </c>
      <c r="H35" s="47" t="s">
        <v>141</v>
      </c>
      <c r="I35" s="47" t="s">
        <v>141</v>
      </c>
      <c r="J35" s="50"/>
      <c r="K35" s="52"/>
      <c r="L35" s="2"/>
    </row>
    <row r="36" spans="1:12" ht="18.75" x14ac:dyDescent="0.3">
      <c r="A36" s="26"/>
      <c r="B36" s="20"/>
      <c r="C36" s="20"/>
      <c r="D36" s="20"/>
      <c r="E36" s="40"/>
      <c r="F36" s="40"/>
      <c r="G36" s="12"/>
      <c r="H36" s="47"/>
      <c r="I36" s="47">
        <f>SUM(I16:I35)</f>
        <v>101666.6</v>
      </c>
      <c r="J36" s="50"/>
      <c r="K36" s="52"/>
      <c r="L36" s="2"/>
    </row>
    <row r="37" spans="1:12" ht="24" customHeight="1" x14ac:dyDescent="0.3">
      <c r="A37" s="88" t="s">
        <v>87</v>
      </c>
      <c r="B37" s="89"/>
      <c r="C37" s="89"/>
      <c r="D37" s="89"/>
      <c r="E37" s="89"/>
      <c r="F37" s="89"/>
      <c r="G37" s="90"/>
      <c r="H37" s="53"/>
      <c r="I37" s="54"/>
      <c r="J37" s="50"/>
      <c r="K37" s="52"/>
      <c r="L37" s="2"/>
    </row>
    <row r="38" spans="1:12" ht="32.25" customHeight="1" x14ac:dyDescent="0.3">
      <c r="A38" s="6" t="s">
        <v>50</v>
      </c>
      <c r="B38" s="5"/>
      <c r="C38" s="4"/>
      <c r="D38" s="15" t="s">
        <v>167</v>
      </c>
      <c r="E38" s="37" t="s">
        <v>141</v>
      </c>
      <c r="F38" s="37">
        <f>1</f>
        <v>1</v>
      </c>
      <c r="G38" s="35" t="s">
        <v>31</v>
      </c>
      <c r="H38" s="47">
        <f>1028/F38</f>
        <v>1028</v>
      </c>
      <c r="I38" s="47">
        <f>F38*H38</f>
        <v>1028</v>
      </c>
      <c r="J38" s="50" t="s">
        <v>120</v>
      </c>
      <c r="K38" s="52"/>
      <c r="L38" s="2"/>
    </row>
    <row r="39" spans="1:12" ht="60.75" customHeight="1" x14ac:dyDescent="0.3">
      <c r="A39" s="6"/>
      <c r="B39" s="5"/>
      <c r="C39" s="4"/>
      <c r="D39" s="15" t="s">
        <v>207</v>
      </c>
      <c r="E39" s="37"/>
      <c r="F39" s="37">
        <v>1</v>
      </c>
      <c r="G39" s="35" t="s">
        <v>31</v>
      </c>
      <c r="H39" s="55">
        <f>1602.4/F39</f>
        <v>1602.4</v>
      </c>
      <c r="I39" s="69">
        <f>H39*F39</f>
        <v>1602.4</v>
      </c>
      <c r="J39" s="50" t="s">
        <v>124</v>
      </c>
      <c r="K39" s="52"/>
      <c r="L39" s="2"/>
    </row>
    <row r="40" spans="1:12" ht="32.25" customHeight="1" x14ac:dyDescent="0.3">
      <c r="A40" s="6"/>
      <c r="B40" s="5"/>
      <c r="C40" s="4"/>
      <c r="D40" s="15" t="s">
        <v>179</v>
      </c>
      <c r="E40" s="37"/>
      <c r="F40" s="37">
        <f>2.2+18.7</f>
        <v>20.9</v>
      </c>
      <c r="G40" s="35" t="s">
        <v>180</v>
      </c>
      <c r="H40" s="55">
        <f>(306.2+2682.8)/F40</f>
        <v>143.01435406698565</v>
      </c>
      <c r="I40" s="69">
        <f t="shared" ref="I40:I55" si="1">F40*H40</f>
        <v>2989</v>
      </c>
      <c r="J40" s="50" t="s">
        <v>124</v>
      </c>
      <c r="K40" s="52"/>
      <c r="L40" s="2"/>
    </row>
    <row r="41" spans="1:12" ht="63" customHeight="1" x14ac:dyDescent="0.3">
      <c r="A41" s="6"/>
      <c r="B41" s="5"/>
      <c r="C41" s="4"/>
      <c r="D41" s="15" t="s">
        <v>228</v>
      </c>
      <c r="E41" s="37"/>
      <c r="F41" s="37">
        <f>1</f>
        <v>1</v>
      </c>
      <c r="G41" s="35" t="s">
        <v>210</v>
      </c>
      <c r="H41" s="55">
        <f>1847.6/F41</f>
        <v>1847.6</v>
      </c>
      <c r="I41" s="69">
        <f t="shared" si="1"/>
        <v>1847.6</v>
      </c>
      <c r="J41" s="50" t="s">
        <v>124</v>
      </c>
      <c r="K41" s="52"/>
      <c r="L41" s="2"/>
    </row>
    <row r="42" spans="1:12" ht="32.25" customHeight="1" x14ac:dyDescent="0.3">
      <c r="A42" s="6"/>
      <c r="B42" s="5"/>
      <c r="C42" s="4"/>
      <c r="D42" s="15" t="s">
        <v>211</v>
      </c>
      <c r="E42" s="37" t="s">
        <v>141</v>
      </c>
      <c r="F42" s="37">
        <f>1</f>
        <v>1</v>
      </c>
      <c r="G42" s="13" t="s">
        <v>31</v>
      </c>
      <c r="H42" s="55">
        <f>1692.8/F42</f>
        <v>1692.8</v>
      </c>
      <c r="I42" s="69">
        <f t="shared" si="1"/>
        <v>1692.8</v>
      </c>
      <c r="J42" s="50" t="s">
        <v>124</v>
      </c>
      <c r="K42" s="52"/>
      <c r="L42" s="2"/>
    </row>
    <row r="43" spans="1:12" ht="32.25" customHeight="1" x14ac:dyDescent="0.3">
      <c r="A43" s="6"/>
      <c r="B43" s="5"/>
      <c r="C43" s="4"/>
      <c r="D43" s="15" t="s">
        <v>208</v>
      </c>
      <c r="E43" s="37"/>
      <c r="F43" s="37">
        <f>1+1</f>
        <v>2</v>
      </c>
      <c r="G43" s="13" t="s">
        <v>31</v>
      </c>
      <c r="H43" s="47">
        <f>(193.6+127.6)/F43</f>
        <v>160.6</v>
      </c>
      <c r="I43" s="69">
        <f t="shared" si="1"/>
        <v>321.2</v>
      </c>
      <c r="J43" s="50" t="s">
        <v>122</v>
      </c>
      <c r="K43" s="52"/>
      <c r="L43" s="2"/>
    </row>
    <row r="44" spans="1:12" ht="32.25" customHeight="1" x14ac:dyDescent="0.3">
      <c r="A44" s="6"/>
      <c r="B44" s="5"/>
      <c r="C44" s="4"/>
      <c r="D44" s="15" t="s">
        <v>206</v>
      </c>
      <c r="E44" s="37"/>
      <c r="F44" s="37">
        <f>1+1+6</f>
        <v>8</v>
      </c>
      <c r="G44" s="13" t="s">
        <v>31</v>
      </c>
      <c r="H44" s="47">
        <f>(762.4+2357.4)/F44</f>
        <v>389.97500000000002</v>
      </c>
      <c r="I44" s="69">
        <f t="shared" si="1"/>
        <v>3119.8</v>
      </c>
      <c r="J44" s="50" t="s">
        <v>122</v>
      </c>
      <c r="K44" s="52"/>
      <c r="L44" s="2"/>
    </row>
    <row r="45" spans="1:12" ht="32.25" customHeight="1" x14ac:dyDescent="0.3">
      <c r="A45" s="6"/>
      <c r="B45" s="5"/>
      <c r="C45" s="4"/>
      <c r="D45" s="15" t="s">
        <v>203</v>
      </c>
      <c r="E45" s="37"/>
      <c r="F45" s="37">
        <f>2+2</f>
        <v>4</v>
      </c>
      <c r="G45" s="13" t="s">
        <v>31</v>
      </c>
      <c r="H45" s="47">
        <f>5906.6/F45</f>
        <v>1476.65</v>
      </c>
      <c r="I45" s="47">
        <f t="shared" ref="I45" si="2">F45*H45</f>
        <v>5906.6</v>
      </c>
      <c r="J45" s="50" t="s">
        <v>122</v>
      </c>
      <c r="K45" s="52"/>
      <c r="L45" s="2"/>
    </row>
    <row r="46" spans="1:12" ht="32.25" customHeight="1" x14ac:dyDescent="0.3">
      <c r="A46" s="6"/>
      <c r="B46" s="5"/>
      <c r="C46" s="4"/>
      <c r="D46" s="15" t="s">
        <v>221</v>
      </c>
      <c r="E46" s="37"/>
      <c r="F46" s="37">
        <v>1</v>
      </c>
      <c r="G46" s="13" t="s">
        <v>31</v>
      </c>
      <c r="H46" s="47">
        <f>5086.4/F46</f>
        <v>5086.3999999999996</v>
      </c>
      <c r="I46" s="69">
        <f t="shared" ref="I46:I51" si="3">F46*H46</f>
        <v>5086.3999999999996</v>
      </c>
      <c r="J46" s="50" t="s">
        <v>122</v>
      </c>
      <c r="K46" s="52"/>
      <c r="L46" s="2"/>
    </row>
    <row r="47" spans="1:12" ht="32.25" customHeight="1" x14ac:dyDescent="0.3">
      <c r="A47" s="6"/>
      <c r="B47" s="5"/>
      <c r="C47" s="4"/>
      <c r="D47" s="15" t="s">
        <v>199</v>
      </c>
      <c r="E47" s="37"/>
      <c r="F47" s="37">
        <f>26+9</f>
        <v>35</v>
      </c>
      <c r="G47" s="13" t="s">
        <v>148</v>
      </c>
      <c r="H47" s="55">
        <f>(7047.2+2439.4)/F47</f>
        <v>271.04571428571427</v>
      </c>
      <c r="I47" s="69">
        <f t="shared" si="3"/>
        <v>9486.5999999999985</v>
      </c>
      <c r="J47" s="50" t="s">
        <v>124</v>
      </c>
      <c r="K47" s="52"/>
      <c r="L47" s="2"/>
    </row>
    <row r="48" spans="1:12" ht="32.25" customHeight="1" x14ac:dyDescent="0.3">
      <c r="A48" s="6"/>
      <c r="B48" s="5"/>
      <c r="C48" s="4"/>
      <c r="D48" s="15" t="s">
        <v>229</v>
      </c>
      <c r="E48" s="37"/>
      <c r="F48" s="37">
        <v>1</v>
      </c>
      <c r="G48" s="13" t="s">
        <v>31</v>
      </c>
      <c r="H48" s="47">
        <f>1254.2/F48</f>
        <v>1254.2</v>
      </c>
      <c r="I48" s="69">
        <f t="shared" si="3"/>
        <v>1254.2</v>
      </c>
      <c r="J48" s="50" t="s">
        <v>120</v>
      </c>
      <c r="K48" s="52"/>
      <c r="L48" s="2"/>
    </row>
    <row r="49" spans="1:12" ht="48.75" customHeight="1" x14ac:dyDescent="0.3">
      <c r="A49" s="6"/>
      <c r="B49" s="5"/>
      <c r="C49" s="4"/>
      <c r="D49" s="15" t="s">
        <v>236</v>
      </c>
      <c r="E49" s="37"/>
      <c r="F49" s="78">
        <f>4.32+97.2</f>
        <v>101.52000000000001</v>
      </c>
      <c r="G49" s="13" t="s">
        <v>115</v>
      </c>
      <c r="H49" s="55">
        <f>46307.4/F49</f>
        <v>456.14066193853427</v>
      </c>
      <c r="I49" s="69">
        <f t="shared" si="3"/>
        <v>46307.4</v>
      </c>
      <c r="J49" s="50" t="s">
        <v>122</v>
      </c>
      <c r="K49" s="52"/>
      <c r="L49" s="2"/>
    </row>
    <row r="50" spans="1:12" ht="58.5" customHeight="1" x14ac:dyDescent="0.3">
      <c r="A50" s="6"/>
      <c r="B50" s="5"/>
      <c r="C50" s="4"/>
      <c r="D50" s="15" t="s">
        <v>237</v>
      </c>
      <c r="E50" s="37"/>
      <c r="F50" s="37">
        <v>52.61</v>
      </c>
      <c r="G50" s="13" t="s">
        <v>115</v>
      </c>
      <c r="H50" s="55">
        <f>11697.6/F50</f>
        <v>222.34556168028894</v>
      </c>
      <c r="I50" s="69">
        <f t="shared" si="3"/>
        <v>11697.6</v>
      </c>
      <c r="J50" s="50" t="s">
        <v>122</v>
      </c>
      <c r="K50" s="52"/>
      <c r="L50" s="2"/>
    </row>
    <row r="51" spans="1:12" ht="58.5" customHeight="1" x14ac:dyDescent="0.3">
      <c r="A51" s="6"/>
      <c r="B51" s="5"/>
      <c r="C51" s="4"/>
      <c r="D51" s="15" t="s">
        <v>230</v>
      </c>
      <c r="E51" s="37"/>
      <c r="F51" s="37">
        <f>2</f>
        <v>2</v>
      </c>
      <c r="G51" s="13" t="s">
        <v>31</v>
      </c>
      <c r="H51" s="55">
        <f>3117.4/F51</f>
        <v>1558.7</v>
      </c>
      <c r="I51" s="69">
        <f t="shared" si="3"/>
        <v>3117.4</v>
      </c>
      <c r="J51" s="50" t="s">
        <v>122</v>
      </c>
      <c r="K51" s="52"/>
      <c r="L51" s="2"/>
    </row>
    <row r="52" spans="1:12" ht="32.25" x14ac:dyDescent="0.3">
      <c r="A52" s="6" t="s">
        <v>51</v>
      </c>
      <c r="B52" s="5"/>
      <c r="C52" s="4"/>
      <c r="D52" s="15" t="s">
        <v>101</v>
      </c>
      <c r="E52" s="37"/>
      <c r="F52" s="37"/>
      <c r="G52" s="13" t="s">
        <v>55</v>
      </c>
      <c r="H52" s="47"/>
      <c r="I52" s="47"/>
      <c r="J52" s="50"/>
      <c r="K52" s="52"/>
      <c r="L52" s="2"/>
    </row>
    <row r="53" spans="1:12" ht="18.75" x14ac:dyDescent="0.3">
      <c r="A53" s="6"/>
      <c r="B53" s="5"/>
      <c r="C53" s="4"/>
      <c r="D53" s="15" t="s">
        <v>226</v>
      </c>
      <c r="E53" s="37"/>
      <c r="F53" s="37">
        <f>9</f>
        <v>9</v>
      </c>
      <c r="G53" s="13" t="s">
        <v>31</v>
      </c>
      <c r="H53" s="47">
        <f>23364/F53</f>
        <v>2596</v>
      </c>
      <c r="I53" s="69">
        <f>F53*H53</f>
        <v>23364</v>
      </c>
      <c r="J53" s="50" t="s">
        <v>227</v>
      </c>
      <c r="K53" s="52"/>
      <c r="L53" s="2"/>
    </row>
    <row r="54" spans="1:12" ht="45.75" customHeight="1" x14ac:dyDescent="0.3">
      <c r="A54" s="6"/>
      <c r="B54" s="5"/>
      <c r="C54" s="4"/>
      <c r="D54" s="15" t="s">
        <v>225</v>
      </c>
      <c r="E54" s="37"/>
      <c r="F54" s="37">
        <f>77.76</f>
        <v>77.760000000000005</v>
      </c>
      <c r="G54" s="13" t="s">
        <v>115</v>
      </c>
      <c r="H54" s="55">
        <f>28349.4/F54</f>
        <v>364.57561728395063</v>
      </c>
      <c r="I54" s="69">
        <f t="shared" si="1"/>
        <v>28349.4</v>
      </c>
      <c r="J54" s="50" t="s">
        <v>124</v>
      </c>
      <c r="K54" s="52"/>
      <c r="L54" s="2"/>
    </row>
    <row r="55" spans="1:12" ht="18.75" x14ac:dyDescent="0.3">
      <c r="A55" s="6"/>
      <c r="B55" s="5"/>
      <c r="C55" s="4"/>
      <c r="D55" s="15" t="s">
        <v>202</v>
      </c>
      <c r="E55" s="37"/>
      <c r="F55" s="37">
        <f>6+25</f>
        <v>31</v>
      </c>
      <c r="G55" s="13" t="s">
        <v>31</v>
      </c>
      <c r="H55" s="55">
        <f>(3809+16380.2)/F55</f>
        <v>651.26451612903224</v>
      </c>
      <c r="I55" s="69">
        <f t="shared" si="1"/>
        <v>20189.2</v>
      </c>
      <c r="J55" s="50" t="s">
        <v>124</v>
      </c>
      <c r="K55" s="52"/>
      <c r="L55" s="2"/>
    </row>
    <row r="56" spans="1:12" ht="32.25" x14ac:dyDescent="0.3">
      <c r="A56" s="6" t="s">
        <v>60</v>
      </c>
      <c r="B56" s="8"/>
      <c r="C56" s="4"/>
      <c r="D56" s="15" t="s">
        <v>47</v>
      </c>
      <c r="E56" s="37" t="s">
        <v>141</v>
      </c>
      <c r="F56" s="37"/>
      <c r="G56" s="14" t="s">
        <v>54</v>
      </c>
      <c r="H56" s="47"/>
      <c r="I56" s="47" t="s">
        <v>141</v>
      </c>
      <c r="J56" s="50"/>
      <c r="K56" s="52"/>
      <c r="L56" s="2"/>
    </row>
    <row r="57" spans="1:12" ht="31.5" x14ac:dyDescent="0.3">
      <c r="A57" s="6"/>
      <c r="B57" s="8"/>
      <c r="C57" s="4"/>
      <c r="D57" s="38" t="s">
        <v>243</v>
      </c>
      <c r="E57" s="37"/>
      <c r="F57" s="37">
        <f>425.7</f>
        <v>425.7</v>
      </c>
      <c r="G57" s="13" t="s">
        <v>115</v>
      </c>
      <c r="H57" s="55">
        <f>39872.8/F57</f>
        <v>93.664082687338507</v>
      </c>
      <c r="I57" s="69">
        <f t="shared" ref="I57" si="4">F57*H57</f>
        <v>39872.800000000003</v>
      </c>
      <c r="J57" s="50" t="s">
        <v>124</v>
      </c>
      <c r="K57" s="52"/>
      <c r="L57" s="2"/>
    </row>
    <row r="58" spans="1:12" ht="31.5" x14ac:dyDescent="0.3">
      <c r="A58" s="6"/>
      <c r="B58" s="8"/>
      <c r="C58" s="4"/>
      <c r="D58" s="38" t="s">
        <v>182</v>
      </c>
      <c r="E58" s="37"/>
      <c r="F58" s="37"/>
      <c r="G58" s="13" t="s">
        <v>115</v>
      </c>
      <c r="H58" s="55"/>
      <c r="I58" s="69"/>
      <c r="J58" s="50"/>
      <c r="K58" s="52"/>
      <c r="L58" s="2"/>
    </row>
    <row r="59" spans="1:12" ht="18.75" x14ac:dyDescent="0.3">
      <c r="A59" s="6"/>
      <c r="B59" s="8"/>
      <c r="C59" s="4"/>
      <c r="D59" s="38" t="s">
        <v>185</v>
      </c>
      <c r="E59" s="37"/>
      <c r="F59" s="37">
        <f>453</f>
        <v>453</v>
      </c>
      <c r="G59" s="13" t="s">
        <v>115</v>
      </c>
      <c r="H59" s="55">
        <f>82657.4/F59</f>
        <v>182.46666666666664</v>
      </c>
      <c r="I59" s="69">
        <f>F59*H59</f>
        <v>82657.399999999994</v>
      </c>
      <c r="J59" s="50" t="s">
        <v>124</v>
      </c>
      <c r="K59" s="52"/>
      <c r="L59" s="2"/>
    </row>
    <row r="60" spans="1:12" ht="31.5" x14ac:dyDescent="0.3">
      <c r="A60" s="6"/>
      <c r="B60" s="8"/>
      <c r="C60" s="4"/>
      <c r="D60" s="38" t="s">
        <v>186</v>
      </c>
      <c r="E60" s="37"/>
      <c r="F60" s="37">
        <f>1510+425.7</f>
        <v>1935.7</v>
      </c>
      <c r="G60" s="13" t="s">
        <v>115</v>
      </c>
      <c r="H60" s="55">
        <f>(920511+274163)/F60</f>
        <v>617.17931497649431</v>
      </c>
      <c r="I60" s="69">
        <f>F60*H60</f>
        <v>1194674</v>
      </c>
      <c r="J60" s="50" t="s">
        <v>124</v>
      </c>
      <c r="K60" s="52"/>
      <c r="L60" s="2"/>
    </row>
    <row r="61" spans="1:12" ht="47.25" x14ac:dyDescent="0.3">
      <c r="A61" s="6"/>
      <c r="B61" s="8"/>
      <c r="C61" s="4"/>
      <c r="D61" s="38" t="s">
        <v>187</v>
      </c>
      <c r="E61" s="37"/>
      <c r="F61" s="37">
        <v>146</v>
      </c>
      <c r="G61" s="13" t="s">
        <v>115</v>
      </c>
      <c r="H61" s="55">
        <f>53231/F61</f>
        <v>364.59589041095893</v>
      </c>
      <c r="I61" s="69">
        <f>F61*H61</f>
        <v>53231.000000000007</v>
      </c>
      <c r="J61" s="50" t="s">
        <v>124</v>
      </c>
      <c r="K61" s="52"/>
      <c r="L61" s="2"/>
    </row>
    <row r="62" spans="1:12" ht="31.5" x14ac:dyDescent="0.3">
      <c r="A62" s="6"/>
      <c r="B62" s="8"/>
      <c r="C62" s="4"/>
      <c r="D62" s="38" t="s">
        <v>239</v>
      </c>
      <c r="E62" s="37"/>
      <c r="F62" s="37">
        <f>6</f>
        <v>6</v>
      </c>
      <c r="G62" s="13" t="s">
        <v>115</v>
      </c>
      <c r="H62" s="55">
        <f>14702/F62</f>
        <v>2450.3333333333335</v>
      </c>
      <c r="I62" s="69">
        <f>F62*H62</f>
        <v>14702</v>
      </c>
      <c r="J62" s="50" t="s">
        <v>124</v>
      </c>
      <c r="K62" s="52"/>
      <c r="L62" s="2"/>
    </row>
    <row r="63" spans="1:12" ht="18.75" x14ac:dyDescent="0.3">
      <c r="A63" s="6" t="s">
        <v>62</v>
      </c>
      <c r="B63" s="5"/>
      <c r="C63" s="4"/>
      <c r="D63" s="15" t="s">
        <v>52</v>
      </c>
      <c r="E63" s="37" t="s">
        <v>141</v>
      </c>
      <c r="F63" s="37"/>
      <c r="G63" s="14" t="s">
        <v>54</v>
      </c>
      <c r="H63" s="47"/>
      <c r="I63" s="47" t="s">
        <v>141</v>
      </c>
      <c r="J63" s="50"/>
      <c r="K63" s="52"/>
      <c r="L63" s="2"/>
    </row>
    <row r="64" spans="1:12" ht="18.75" x14ac:dyDescent="0.3">
      <c r="A64" s="6"/>
      <c r="B64" s="5"/>
      <c r="C64" s="4"/>
      <c r="D64" s="15" t="s">
        <v>188</v>
      </c>
      <c r="E64" s="37"/>
      <c r="F64" s="37">
        <v>8.1</v>
      </c>
      <c r="G64" s="14" t="s">
        <v>180</v>
      </c>
      <c r="H64" s="55">
        <f>1258/F64</f>
        <v>155.30864197530866</v>
      </c>
      <c r="I64" s="69">
        <f>F64*H64</f>
        <v>1258</v>
      </c>
      <c r="J64" s="50" t="s">
        <v>124</v>
      </c>
      <c r="K64" s="52"/>
      <c r="L64" s="2"/>
    </row>
    <row r="65" spans="1:12" ht="32.25" x14ac:dyDescent="0.3">
      <c r="A65" s="6"/>
      <c r="B65" s="5"/>
      <c r="C65" s="4"/>
      <c r="D65" s="15" t="s">
        <v>189</v>
      </c>
      <c r="E65" s="37"/>
      <c r="F65" s="37">
        <v>4</v>
      </c>
      <c r="G65" s="13" t="s">
        <v>31</v>
      </c>
      <c r="H65" s="47">
        <f>1220.6/F65</f>
        <v>305.14999999999998</v>
      </c>
      <c r="I65" s="69">
        <f>F65*H65</f>
        <v>1220.5999999999999</v>
      </c>
      <c r="J65" s="50" t="s">
        <v>124</v>
      </c>
      <c r="K65" s="52"/>
      <c r="L65" s="2"/>
    </row>
    <row r="66" spans="1:12" ht="48" x14ac:dyDescent="0.3">
      <c r="A66" s="6"/>
      <c r="B66" s="5"/>
      <c r="C66" s="4"/>
      <c r="D66" s="15" t="s">
        <v>190</v>
      </c>
      <c r="E66" s="37"/>
      <c r="F66" s="37">
        <v>19.844999999999999</v>
      </c>
      <c r="G66" s="13" t="s">
        <v>115</v>
      </c>
      <c r="H66" s="55">
        <f>15981.4/F66</f>
        <v>805.31116150163768</v>
      </c>
      <c r="I66" s="69">
        <f>F66*H66</f>
        <v>15981.4</v>
      </c>
      <c r="J66" s="50" t="s">
        <v>124</v>
      </c>
      <c r="K66" s="52"/>
      <c r="L66" s="2"/>
    </row>
    <row r="67" spans="1:12" ht="32.25" x14ac:dyDescent="0.3">
      <c r="A67" s="6"/>
      <c r="B67" s="5"/>
      <c r="C67" s="4"/>
      <c r="D67" s="15" t="s">
        <v>191</v>
      </c>
      <c r="E67" s="37"/>
      <c r="F67" s="37">
        <v>11.34</v>
      </c>
      <c r="G67" s="13" t="s">
        <v>115</v>
      </c>
      <c r="H67" s="55">
        <f>2771.4/11.34</f>
        <v>244.39153439153441</v>
      </c>
      <c r="I67" s="69">
        <f>F67*H67</f>
        <v>2771.4</v>
      </c>
      <c r="J67" s="50" t="s">
        <v>124</v>
      </c>
      <c r="K67" s="52"/>
      <c r="L67" s="2"/>
    </row>
    <row r="68" spans="1:12" ht="32.25" x14ac:dyDescent="0.3">
      <c r="A68" s="6" t="s">
        <v>63</v>
      </c>
      <c r="B68" s="5"/>
      <c r="C68" s="4"/>
      <c r="D68" s="15" t="s">
        <v>65</v>
      </c>
      <c r="E68" s="37" t="s">
        <v>141</v>
      </c>
      <c r="F68" s="37"/>
      <c r="G68" s="13" t="s">
        <v>30</v>
      </c>
      <c r="H68" s="47"/>
      <c r="I68" s="47" t="s">
        <v>141</v>
      </c>
      <c r="J68" s="50"/>
      <c r="K68" s="52"/>
      <c r="L68" s="2"/>
    </row>
    <row r="69" spans="1:12" ht="18.75" x14ac:dyDescent="0.3">
      <c r="A69" s="6" t="s">
        <v>59</v>
      </c>
      <c r="B69" s="8"/>
      <c r="C69" s="4"/>
      <c r="D69" s="4" t="s">
        <v>48</v>
      </c>
      <c r="E69" s="37" t="s">
        <v>141</v>
      </c>
      <c r="F69" s="37" t="s">
        <v>141</v>
      </c>
      <c r="G69" s="14" t="s">
        <v>54</v>
      </c>
      <c r="H69" s="47"/>
      <c r="I69" s="47" t="s">
        <v>141</v>
      </c>
      <c r="J69" s="50"/>
      <c r="K69" s="52"/>
      <c r="L69" s="2"/>
    </row>
    <row r="70" spans="1:12" ht="31.5" x14ac:dyDescent="0.3">
      <c r="A70" s="6"/>
      <c r="B70" s="8"/>
      <c r="C70" s="4"/>
      <c r="D70" s="38" t="s">
        <v>242</v>
      </c>
      <c r="E70" s="37"/>
      <c r="F70" s="37">
        <f>146</f>
        <v>146</v>
      </c>
      <c r="G70" s="13" t="s">
        <v>115</v>
      </c>
      <c r="H70" s="55">
        <f>16600.2/F70</f>
        <v>113.7</v>
      </c>
      <c r="I70" s="69">
        <f>F70*H70</f>
        <v>16600.2</v>
      </c>
      <c r="J70" s="50" t="s">
        <v>124</v>
      </c>
      <c r="K70" s="52"/>
      <c r="L70" s="2"/>
    </row>
    <row r="71" spans="1:12" ht="31.5" x14ac:dyDescent="0.3">
      <c r="A71" s="6"/>
      <c r="B71" s="8"/>
      <c r="C71" s="4"/>
      <c r="D71" s="38" t="s">
        <v>183</v>
      </c>
      <c r="E71" s="37"/>
      <c r="F71" s="37">
        <f>180</f>
        <v>180</v>
      </c>
      <c r="G71" s="13" t="s">
        <v>115</v>
      </c>
      <c r="H71" s="55">
        <f>32845/F71</f>
        <v>182.47222222222223</v>
      </c>
      <c r="I71" s="69">
        <f>F71*H71</f>
        <v>32845</v>
      </c>
      <c r="J71" s="50" t="s">
        <v>124</v>
      </c>
      <c r="K71" s="52"/>
      <c r="L71" s="2"/>
    </row>
    <row r="72" spans="1:12" ht="31.5" x14ac:dyDescent="0.3">
      <c r="A72" s="6"/>
      <c r="B72" s="8"/>
      <c r="C72" s="4"/>
      <c r="D72" s="38" t="s">
        <v>184</v>
      </c>
      <c r="E72" s="37"/>
      <c r="F72" s="37">
        <f>600+146</f>
        <v>746</v>
      </c>
      <c r="G72" s="14" t="s">
        <v>115</v>
      </c>
      <c r="H72" s="55">
        <f>(501639.2+129016.4)/F72</f>
        <v>845.38284182305631</v>
      </c>
      <c r="I72" s="69">
        <f>F72*H72</f>
        <v>630655.6</v>
      </c>
      <c r="J72" s="50" t="s">
        <v>124</v>
      </c>
      <c r="K72" s="52"/>
      <c r="L72" s="2"/>
    </row>
    <row r="73" spans="1:12" ht="32.25" x14ac:dyDescent="0.3">
      <c r="A73" s="6"/>
      <c r="B73" s="8"/>
      <c r="C73" s="4"/>
      <c r="D73" s="15" t="s">
        <v>176</v>
      </c>
      <c r="E73" s="37"/>
      <c r="F73" s="37">
        <f>7</f>
        <v>7</v>
      </c>
      <c r="G73" s="14" t="s">
        <v>31</v>
      </c>
      <c r="H73" s="55">
        <f>1607.6/F73</f>
        <v>229.65714285714284</v>
      </c>
      <c r="I73" s="69">
        <f>F73*H73</f>
        <v>1607.6</v>
      </c>
      <c r="J73" s="50" t="s">
        <v>150</v>
      </c>
      <c r="K73" s="52"/>
      <c r="L73" s="2"/>
    </row>
    <row r="74" spans="1:12" ht="24" customHeight="1" x14ac:dyDescent="0.3">
      <c r="A74" s="6" t="s">
        <v>61</v>
      </c>
      <c r="B74" s="8"/>
      <c r="C74" s="4"/>
      <c r="D74" s="4" t="s">
        <v>49</v>
      </c>
      <c r="E74" s="37" t="s">
        <v>141</v>
      </c>
      <c r="F74" s="37" t="s">
        <v>141</v>
      </c>
      <c r="G74" s="14" t="s">
        <v>54</v>
      </c>
      <c r="H74" s="47" t="s">
        <v>141</v>
      </c>
      <c r="I74" s="47" t="s">
        <v>141</v>
      </c>
      <c r="J74" s="50"/>
      <c r="K74" s="52"/>
      <c r="L74" s="2"/>
    </row>
    <row r="75" spans="1:12" ht="18.75" x14ac:dyDescent="0.3">
      <c r="A75" s="6" t="s">
        <v>66</v>
      </c>
      <c r="B75" s="5"/>
      <c r="C75" s="4"/>
      <c r="D75" s="4" t="s">
        <v>94</v>
      </c>
      <c r="E75" s="37" t="s">
        <v>141</v>
      </c>
      <c r="F75" s="37"/>
      <c r="G75" s="14" t="s">
        <v>55</v>
      </c>
      <c r="H75" s="47"/>
      <c r="I75" s="69"/>
      <c r="J75" s="50" t="s">
        <v>150</v>
      </c>
      <c r="K75" s="52"/>
      <c r="L75" s="2"/>
    </row>
    <row r="76" spans="1:12" ht="48" x14ac:dyDescent="0.3">
      <c r="A76" s="6"/>
      <c r="B76" s="5"/>
      <c r="C76" s="5"/>
      <c r="D76" s="36" t="s">
        <v>231</v>
      </c>
      <c r="E76" s="75"/>
      <c r="F76" s="75">
        <f>10</f>
        <v>10</v>
      </c>
      <c r="G76" s="14" t="s">
        <v>31</v>
      </c>
      <c r="H76" s="62">
        <f>14460.6/F76</f>
        <v>1446.06</v>
      </c>
      <c r="I76" s="76">
        <f>F76*H76</f>
        <v>14460.599999999999</v>
      </c>
      <c r="J76" s="50" t="s">
        <v>122</v>
      </c>
      <c r="K76" s="52"/>
      <c r="L76" s="2"/>
    </row>
    <row r="77" spans="1:12" ht="48" x14ac:dyDescent="0.3">
      <c r="A77" s="6"/>
      <c r="B77" s="5"/>
      <c r="C77" s="5"/>
      <c r="D77" s="36" t="s">
        <v>232</v>
      </c>
      <c r="E77" s="75"/>
      <c r="F77" s="75">
        <f>10+1</f>
        <v>11</v>
      </c>
      <c r="G77" s="14" t="s">
        <v>31</v>
      </c>
      <c r="H77" s="77">
        <f>(37699.6+2077)/F77</f>
        <v>3616.0545454545454</v>
      </c>
      <c r="I77" s="76">
        <f>F77*H77</f>
        <v>39776.6</v>
      </c>
      <c r="J77" s="50" t="s">
        <v>122</v>
      </c>
      <c r="K77" s="52"/>
      <c r="L77" s="2"/>
    </row>
    <row r="78" spans="1:12" ht="18.75" x14ac:dyDescent="0.3">
      <c r="A78" s="26"/>
      <c r="B78" s="20"/>
      <c r="C78" s="20"/>
      <c r="D78" s="20"/>
      <c r="E78" s="40"/>
      <c r="F78" s="40"/>
      <c r="G78" s="12"/>
      <c r="H78" s="47"/>
      <c r="I78" s="47">
        <f>SUM(I38:I77)</f>
        <v>2309673.8000000003</v>
      </c>
      <c r="J78" s="50"/>
      <c r="K78" s="52"/>
      <c r="L78" s="2"/>
    </row>
    <row r="79" spans="1:12" ht="18.75" x14ac:dyDescent="0.3">
      <c r="A79" s="88" t="s">
        <v>68</v>
      </c>
      <c r="B79" s="89"/>
      <c r="C79" s="89"/>
      <c r="D79" s="89"/>
      <c r="E79" s="89"/>
      <c r="F79" s="89"/>
      <c r="G79" s="90"/>
      <c r="H79" s="56"/>
      <c r="I79" s="54"/>
      <c r="J79" s="50"/>
      <c r="K79" s="52"/>
      <c r="L79" s="2"/>
    </row>
    <row r="80" spans="1:12" ht="37.5" x14ac:dyDescent="0.25">
      <c r="A80" s="9" t="s">
        <v>29</v>
      </c>
      <c r="B80" s="8"/>
      <c r="C80" s="4"/>
      <c r="D80" s="15" t="s">
        <v>144</v>
      </c>
      <c r="E80" s="37" t="s">
        <v>141</v>
      </c>
      <c r="F80" s="37" t="s">
        <v>141</v>
      </c>
      <c r="G80" s="13" t="s">
        <v>55</v>
      </c>
      <c r="H80" s="47" t="s">
        <v>141</v>
      </c>
      <c r="I80" s="47" t="s">
        <v>141</v>
      </c>
      <c r="J80" s="50"/>
      <c r="K80" s="52"/>
      <c r="L80" s="2"/>
    </row>
    <row r="81" spans="1:12" ht="18.75" x14ac:dyDescent="0.25">
      <c r="A81" s="9"/>
      <c r="B81" s="8"/>
      <c r="C81" s="4"/>
      <c r="D81" s="15" t="s">
        <v>204</v>
      </c>
      <c r="E81" s="37"/>
      <c r="F81" s="37">
        <v>11</v>
      </c>
      <c r="G81" s="13" t="s">
        <v>147</v>
      </c>
      <c r="H81" s="55">
        <f>9796.8/F81</f>
        <v>890.61818181818171</v>
      </c>
      <c r="I81" s="69">
        <f>F81*H81</f>
        <v>9796.7999999999993</v>
      </c>
      <c r="J81" s="50" t="s">
        <v>124</v>
      </c>
      <c r="K81" s="52"/>
      <c r="L81" s="2"/>
    </row>
    <row r="82" spans="1:12" ht="18.75" x14ac:dyDescent="0.25">
      <c r="A82" s="9"/>
      <c r="B82" s="8"/>
      <c r="C82" s="4"/>
      <c r="D82" s="15" t="s">
        <v>205</v>
      </c>
      <c r="E82" s="37"/>
      <c r="F82" s="37">
        <v>5.8</v>
      </c>
      <c r="G82" s="13" t="s">
        <v>115</v>
      </c>
      <c r="H82" s="55">
        <f>3300.2/F82</f>
        <v>569</v>
      </c>
      <c r="I82" s="69">
        <f>F82*H82</f>
        <v>3300.2</v>
      </c>
      <c r="J82" s="50" t="s">
        <v>124</v>
      </c>
      <c r="K82" s="52"/>
      <c r="L82" s="2"/>
    </row>
    <row r="83" spans="1:12" ht="47.25" x14ac:dyDescent="0.25">
      <c r="A83" s="9"/>
      <c r="B83" s="8"/>
      <c r="C83" s="4"/>
      <c r="D83" s="15" t="s">
        <v>222</v>
      </c>
      <c r="E83" s="37"/>
      <c r="F83" s="37">
        <v>3.9</v>
      </c>
      <c r="G83" s="13" t="s">
        <v>115</v>
      </c>
      <c r="H83" s="55">
        <f>2948.6/F83</f>
        <v>756.0512820512821</v>
      </c>
      <c r="I83" s="69">
        <f>F83*H83</f>
        <v>2948.6</v>
      </c>
      <c r="J83" s="50" t="s">
        <v>122</v>
      </c>
      <c r="K83" s="52"/>
      <c r="L83" s="2"/>
    </row>
    <row r="84" spans="1:12" ht="52.5" customHeight="1" x14ac:dyDescent="0.25">
      <c r="A84" s="9"/>
      <c r="B84" s="8"/>
      <c r="C84" s="4"/>
      <c r="D84" s="15" t="s">
        <v>223</v>
      </c>
      <c r="E84" s="37"/>
      <c r="F84" s="37">
        <v>3.6</v>
      </c>
      <c r="G84" s="13" t="s">
        <v>115</v>
      </c>
      <c r="H84" s="55">
        <f>2417.2/F84</f>
        <v>671.44444444444434</v>
      </c>
      <c r="I84" s="69">
        <f>F84*H84</f>
        <v>2417.1999999999998</v>
      </c>
      <c r="J84" s="50" t="s">
        <v>122</v>
      </c>
      <c r="K84" s="52"/>
      <c r="L84" s="2"/>
    </row>
    <row r="85" spans="1:12" ht="46.5" customHeight="1" x14ac:dyDescent="0.25">
      <c r="A85" s="9" t="s">
        <v>93</v>
      </c>
      <c r="B85" s="8"/>
      <c r="C85" s="4"/>
      <c r="D85" s="38" t="s">
        <v>127</v>
      </c>
      <c r="E85" s="30"/>
      <c r="F85" s="13">
        <f>5456.6</f>
        <v>5456.6</v>
      </c>
      <c r="G85" s="13" t="s">
        <v>115</v>
      </c>
      <c r="H85" s="57">
        <f>(25542.8+25542.8+25542.8+25702.2+25702.2+25702.2+26702.6+26702.6+26702.6+27045.6+27045.6+27045.6)/F85</f>
        <v>57.724517098559538</v>
      </c>
      <c r="I85" s="57">
        <f t="shared" ref="I85:I87" si="5">F85*H85</f>
        <v>314979.59999999998</v>
      </c>
      <c r="J85" s="50" t="s">
        <v>118</v>
      </c>
      <c r="K85" s="52"/>
      <c r="L85" s="2"/>
    </row>
    <row r="86" spans="1:12" ht="46.5" customHeight="1" x14ac:dyDescent="0.25">
      <c r="A86" s="9"/>
      <c r="B86" s="8"/>
      <c r="C86" s="4"/>
      <c r="D86" s="15" t="s">
        <v>113</v>
      </c>
      <c r="E86" s="30"/>
      <c r="F86" s="13">
        <f>2407</f>
        <v>2407</v>
      </c>
      <c r="G86" s="13" t="s">
        <v>30</v>
      </c>
      <c r="H86" s="57">
        <f>219900.2/F86</f>
        <v>91.358620689655183</v>
      </c>
      <c r="I86" s="57">
        <f t="shared" si="5"/>
        <v>219900.2</v>
      </c>
      <c r="J86" s="50" t="s">
        <v>120</v>
      </c>
      <c r="K86" s="52"/>
      <c r="L86" s="2"/>
    </row>
    <row r="87" spans="1:12" ht="46.5" customHeight="1" x14ac:dyDescent="0.25">
      <c r="A87" s="9"/>
      <c r="B87" s="8"/>
      <c r="C87" s="4"/>
      <c r="D87" s="15" t="s">
        <v>114</v>
      </c>
      <c r="E87" s="37"/>
      <c r="F87" s="37">
        <f>300</f>
        <v>300</v>
      </c>
      <c r="G87" s="13" t="s">
        <v>30</v>
      </c>
      <c r="H87" s="55">
        <f>27692.8/F87</f>
        <v>92.309333333333328</v>
      </c>
      <c r="I87" s="47">
        <f t="shared" si="5"/>
        <v>27692.799999999999</v>
      </c>
      <c r="J87" s="50" t="s">
        <v>120</v>
      </c>
      <c r="K87" s="52"/>
      <c r="L87" s="2"/>
    </row>
    <row r="88" spans="1:12" ht="46.5" customHeight="1" x14ac:dyDescent="0.25">
      <c r="A88" s="9"/>
      <c r="B88" s="8"/>
      <c r="C88" s="4"/>
      <c r="D88" s="15" t="s">
        <v>240</v>
      </c>
      <c r="E88" s="37" t="s">
        <v>141</v>
      </c>
      <c r="F88" s="37">
        <f>21.1</f>
        <v>21.1</v>
      </c>
      <c r="G88" s="35" t="s">
        <v>241</v>
      </c>
      <c r="H88" s="55">
        <f>8479.6/F88</f>
        <v>401.87677725118482</v>
      </c>
      <c r="I88" s="47">
        <f>F88*H88</f>
        <v>8479.6</v>
      </c>
      <c r="J88" s="50" t="s">
        <v>122</v>
      </c>
      <c r="K88" s="52"/>
      <c r="L88" s="2"/>
    </row>
    <row r="89" spans="1:12" ht="46.5" customHeight="1" x14ac:dyDescent="0.25">
      <c r="A89" s="9"/>
      <c r="B89" s="8"/>
      <c r="C89" s="4"/>
      <c r="D89" s="15" t="s">
        <v>234</v>
      </c>
      <c r="E89" s="37" t="s">
        <v>141</v>
      </c>
      <c r="F89" s="37">
        <f>2</f>
        <v>2</v>
      </c>
      <c r="G89" s="13" t="s">
        <v>235</v>
      </c>
      <c r="H89" s="55">
        <f>3049.2/F89</f>
        <v>1524.6</v>
      </c>
      <c r="I89" s="69">
        <f>F89*H89</f>
        <v>3049.2</v>
      </c>
      <c r="J89" s="50" t="s">
        <v>124</v>
      </c>
      <c r="K89" s="52"/>
      <c r="L89" s="2"/>
    </row>
    <row r="90" spans="1:12" ht="46.5" customHeight="1" x14ac:dyDescent="0.25">
      <c r="A90" s="9"/>
      <c r="B90" s="8"/>
      <c r="C90" s="4"/>
      <c r="D90" s="15" t="s">
        <v>217</v>
      </c>
      <c r="E90" s="37" t="s">
        <v>141</v>
      </c>
      <c r="F90" s="37">
        <f>1</f>
        <v>1</v>
      </c>
      <c r="G90" s="13" t="s">
        <v>31</v>
      </c>
      <c r="H90" s="47">
        <f>2753.2/F90</f>
        <v>2753.2</v>
      </c>
      <c r="I90" s="69">
        <f>F90*H90</f>
        <v>2753.2</v>
      </c>
      <c r="J90" s="50" t="s">
        <v>120</v>
      </c>
      <c r="K90" s="52"/>
      <c r="L90" s="2"/>
    </row>
    <row r="91" spans="1:12" ht="46.5" customHeight="1" x14ac:dyDescent="0.25">
      <c r="A91" s="9"/>
      <c r="B91" s="8"/>
      <c r="C91" s="4"/>
      <c r="D91" s="15" t="s">
        <v>134</v>
      </c>
      <c r="E91" s="37"/>
      <c r="F91" s="37">
        <f>6</f>
        <v>6</v>
      </c>
      <c r="G91" s="13" t="s">
        <v>31</v>
      </c>
      <c r="H91" s="55">
        <f>7316.2/F91</f>
        <v>1219.3666666666666</v>
      </c>
      <c r="I91" s="69">
        <f>F91*H91</f>
        <v>7316.1999999999989</v>
      </c>
      <c r="J91" s="50" t="s">
        <v>120</v>
      </c>
      <c r="K91" s="52"/>
      <c r="L91" s="2"/>
    </row>
    <row r="92" spans="1:12" ht="31.5" x14ac:dyDescent="0.25">
      <c r="A92" s="9" t="s">
        <v>84</v>
      </c>
      <c r="B92" s="8"/>
      <c r="C92" s="4"/>
      <c r="D92" s="15" t="s">
        <v>158</v>
      </c>
      <c r="E92" s="37" t="s">
        <v>141</v>
      </c>
      <c r="F92" s="37" t="s">
        <v>141</v>
      </c>
      <c r="G92" s="13" t="s">
        <v>55</v>
      </c>
      <c r="H92" s="47" t="s">
        <v>141</v>
      </c>
      <c r="I92" s="47" t="s">
        <v>141</v>
      </c>
      <c r="J92" s="50"/>
      <c r="K92" s="52"/>
      <c r="L92" s="2"/>
    </row>
    <row r="93" spans="1:12" ht="18.75" x14ac:dyDescent="0.25">
      <c r="A93" s="9"/>
      <c r="B93" s="8"/>
      <c r="C93" s="4"/>
      <c r="D93" s="15" t="s">
        <v>181</v>
      </c>
      <c r="E93" s="37" t="s">
        <v>141</v>
      </c>
      <c r="F93" s="37">
        <f>4</f>
        <v>4</v>
      </c>
      <c r="G93" s="13" t="s">
        <v>31</v>
      </c>
      <c r="H93" s="55">
        <f>5917.8/F93</f>
        <v>1479.45</v>
      </c>
      <c r="I93" s="69">
        <f>F93*H93</f>
        <v>5917.8</v>
      </c>
      <c r="J93" s="50" t="s">
        <v>124</v>
      </c>
      <c r="K93" s="52"/>
      <c r="L93" s="2"/>
    </row>
    <row r="94" spans="1:12" ht="18.75" x14ac:dyDescent="0.25">
      <c r="A94" s="9"/>
      <c r="B94" s="8"/>
      <c r="C94" s="4"/>
      <c r="D94" s="15" t="s">
        <v>156</v>
      </c>
      <c r="E94" s="37"/>
      <c r="F94" s="37">
        <f>1</f>
        <v>1</v>
      </c>
      <c r="G94" s="13" t="s">
        <v>31</v>
      </c>
      <c r="H94" s="47">
        <f>1580.2/F94</f>
        <v>1580.2</v>
      </c>
      <c r="I94" s="69">
        <f>F94*H94</f>
        <v>1580.2</v>
      </c>
      <c r="J94" s="50" t="s">
        <v>120</v>
      </c>
      <c r="K94" s="52"/>
      <c r="L94" s="2"/>
    </row>
    <row r="95" spans="1:12" ht="18.75" x14ac:dyDescent="0.25">
      <c r="A95" s="9"/>
      <c r="B95" s="8"/>
      <c r="C95" s="4"/>
      <c r="D95" s="15" t="s">
        <v>196</v>
      </c>
      <c r="E95" s="37" t="s">
        <v>141</v>
      </c>
      <c r="F95" s="37">
        <f>1</f>
        <v>1</v>
      </c>
      <c r="G95" s="13" t="s">
        <v>31</v>
      </c>
      <c r="H95" s="47">
        <f>3879.4/F95</f>
        <v>3879.4</v>
      </c>
      <c r="I95" s="69">
        <f>F95*H95</f>
        <v>3879.4</v>
      </c>
      <c r="J95" s="50" t="s">
        <v>120</v>
      </c>
      <c r="K95" s="52"/>
      <c r="L95" s="2"/>
    </row>
    <row r="96" spans="1:12" ht="18.75" x14ac:dyDescent="0.25">
      <c r="A96" s="9" t="s">
        <v>20</v>
      </c>
      <c r="B96" s="8"/>
      <c r="C96" s="4"/>
      <c r="D96" s="15" t="s">
        <v>69</v>
      </c>
      <c r="E96" s="37" t="s">
        <v>141</v>
      </c>
      <c r="F96" s="37"/>
      <c r="G96" s="13" t="s">
        <v>30</v>
      </c>
      <c r="H96" s="47"/>
      <c r="I96" s="47" t="s">
        <v>141</v>
      </c>
      <c r="J96" s="50"/>
      <c r="K96" s="52"/>
      <c r="L96" s="2"/>
    </row>
    <row r="97" spans="1:12" ht="47.25" x14ac:dyDescent="0.25">
      <c r="A97" s="9"/>
      <c r="B97" s="8"/>
      <c r="C97" s="4"/>
      <c r="D97" s="15" t="s">
        <v>214</v>
      </c>
      <c r="E97" s="37"/>
      <c r="F97" s="37">
        <v>20</v>
      </c>
      <c r="G97" s="13" t="s">
        <v>148</v>
      </c>
      <c r="H97" s="47">
        <f>12145.2/F97</f>
        <v>607.26</v>
      </c>
      <c r="I97" s="69">
        <f>F97*H97</f>
        <v>12145.2</v>
      </c>
      <c r="J97" s="50"/>
      <c r="K97" s="52"/>
      <c r="L97" s="2"/>
    </row>
    <row r="98" spans="1:12" ht="31.5" x14ac:dyDescent="0.25">
      <c r="A98" s="9" t="s">
        <v>21</v>
      </c>
      <c r="B98" s="8"/>
      <c r="C98" s="4"/>
      <c r="D98" s="15" t="s">
        <v>71</v>
      </c>
      <c r="E98" s="37" t="s">
        <v>141</v>
      </c>
      <c r="F98" s="37">
        <v>1</v>
      </c>
      <c r="G98" s="13" t="s">
        <v>198</v>
      </c>
      <c r="H98" s="47">
        <f>5686/F98</f>
        <v>5686</v>
      </c>
      <c r="I98" s="69">
        <f>F98*H98</f>
        <v>5686</v>
      </c>
      <c r="J98" s="50" t="s">
        <v>120</v>
      </c>
      <c r="K98" s="52"/>
      <c r="L98" s="2"/>
    </row>
    <row r="99" spans="1:12" ht="18.75" x14ac:dyDescent="0.25">
      <c r="A99" s="41"/>
      <c r="B99" s="42"/>
      <c r="C99" s="20"/>
      <c r="D99" s="28"/>
      <c r="E99" s="40"/>
      <c r="F99" s="40"/>
      <c r="G99" s="29"/>
      <c r="H99" s="47"/>
      <c r="I99" s="55">
        <f>SUM(I81:I98)</f>
        <v>631842.19999999984</v>
      </c>
      <c r="J99" s="50"/>
      <c r="K99" s="52"/>
      <c r="L99" s="2"/>
    </row>
    <row r="100" spans="1:12" ht="18.75" x14ac:dyDescent="0.3">
      <c r="A100" s="82" t="s">
        <v>72</v>
      </c>
      <c r="B100" s="83"/>
      <c r="C100" s="83"/>
      <c r="D100" s="83"/>
      <c r="E100" s="83"/>
      <c r="F100" s="83"/>
      <c r="G100" s="84"/>
      <c r="H100" s="58"/>
      <c r="I100" s="54"/>
      <c r="J100" s="50"/>
      <c r="K100" s="52"/>
      <c r="L100" s="2"/>
    </row>
    <row r="101" spans="1:12" ht="37.5" x14ac:dyDescent="0.25">
      <c r="A101" s="9" t="s">
        <v>93</v>
      </c>
      <c r="B101" s="8"/>
      <c r="C101" s="4"/>
      <c r="D101" s="4" t="s">
        <v>129</v>
      </c>
      <c r="E101" s="29"/>
      <c r="F101" s="13">
        <f>4+5+10+6+3+4+12+12+8+1</f>
        <v>65</v>
      </c>
      <c r="G101" s="13" t="s">
        <v>117</v>
      </c>
      <c r="H101" s="57">
        <f>(2808.4+3510.8+7064.6+4238.8+2202+2937.2+8806.4+8921.6+5948.8+742.2)/F101/3</f>
        <v>241.95282051282052</v>
      </c>
      <c r="I101" s="57">
        <f>F101*H101</f>
        <v>15726.933333333334</v>
      </c>
      <c r="J101" s="50" t="s">
        <v>118</v>
      </c>
      <c r="K101" s="52"/>
      <c r="L101" s="2"/>
    </row>
    <row r="102" spans="1:12" ht="18.75" x14ac:dyDescent="0.25">
      <c r="A102" s="9"/>
      <c r="B102" s="8"/>
      <c r="C102" s="4"/>
      <c r="D102" s="15" t="s">
        <v>153</v>
      </c>
      <c r="E102" s="37"/>
      <c r="F102" s="37"/>
      <c r="G102" s="13" t="s">
        <v>31</v>
      </c>
      <c r="H102" s="47"/>
      <c r="I102" s="47" t="s">
        <v>141</v>
      </c>
      <c r="J102" s="50"/>
      <c r="K102" s="52"/>
      <c r="L102" s="2"/>
    </row>
    <row r="103" spans="1:12" ht="31.5" x14ac:dyDescent="0.25">
      <c r="A103" s="9"/>
      <c r="B103" s="8"/>
      <c r="C103" s="4"/>
      <c r="D103" s="15" t="s">
        <v>161</v>
      </c>
      <c r="E103" s="37"/>
      <c r="F103" s="37">
        <f>2</f>
        <v>2</v>
      </c>
      <c r="G103" s="13" t="s">
        <v>154</v>
      </c>
      <c r="H103" s="47">
        <f>14513.6/F103</f>
        <v>7256.8</v>
      </c>
      <c r="I103" s="69">
        <f>F103*H103</f>
        <v>14513.6</v>
      </c>
      <c r="J103" s="50"/>
      <c r="K103" s="52"/>
      <c r="L103" s="2"/>
    </row>
    <row r="104" spans="1:12" ht="31.5" x14ac:dyDescent="0.25">
      <c r="A104" s="9"/>
      <c r="B104" s="8"/>
      <c r="C104" s="4"/>
      <c r="D104" s="15" t="s">
        <v>163</v>
      </c>
      <c r="E104" s="29"/>
      <c r="F104" s="29">
        <f>7</f>
        <v>7</v>
      </c>
      <c r="G104" s="13" t="s">
        <v>30</v>
      </c>
      <c r="H104" s="59">
        <f>2411.8/F104</f>
        <v>344.54285714285714</v>
      </c>
      <c r="I104" s="72">
        <f t="shared" ref="I104:I106" si="6">F104*H104</f>
        <v>2411.8000000000002</v>
      </c>
      <c r="J104" s="50" t="s">
        <v>124</v>
      </c>
      <c r="K104" s="52"/>
      <c r="L104" s="2"/>
    </row>
    <row r="105" spans="1:12" ht="78.75" x14ac:dyDescent="0.25">
      <c r="A105" s="9"/>
      <c r="B105" s="8"/>
      <c r="C105" s="4"/>
      <c r="D105" s="15" t="s">
        <v>164</v>
      </c>
      <c r="E105" s="29"/>
      <c r="F105" s="29">
        <f>11</f>
        <v>11</v>
      </c>
      <c r="G105" s="13" t="s">
        <v>162</v>
      </c>
      <c r="H105" s="59">
        <f>504.6/F105</f>
        <v>45.872727272727275</v>
      </c>
      <c r="I105" s="72">
        <f t="shared" si="6"/>
        <v>504.6</v>
      </c>
      <c r="J105" s="50" t="s">
        <v>124</v>
      </c>
      <c r="K105" s="52"/>
      <c r="L105" s="2"/>
    </row>
    <row r="106" spans="1:12" ht="47.25" x14ac:dyDescent="0.25">
      <c r="A106" s="9"/>
      <c r="B106" s="8"/>
      <c r="C106" s="4"/>
      <c r="D106" s="15" t="s">
        <v>165</v>
      </c>
      <c r="E106" s="29"/>
      <c r="F106" s="29">
        <f>3+4</f>
        <v>7</v>
      </c>
      <c r="G106" s="13" t="s">
        <v>30</v>
      </c>
      <c r="H106" s="59">
        <f>6268.4/F106</f>
        <v>895.48571428571427</v>
      </c>
      <c r="I106" s="72">
        <f t="shared" si="6"/>
        <v>6268.4</v>
      </c>
      <c r="J106" s="50" t="s">
        <v>124</v>
      </c>
      <c r="K106" s="52"/>
      <c r="L106" s="2"/>
    </row>
    <row r="107" spans="1:12" ht="18.75" x14ac:dyDescent="0.25">
      <c r="A107" s="9" t="s">
        <v>84</v>
      </c>
      <c r="B107" s="8"/>
      <c r="C107" s="4"/>
      <c r="D107" s="15" t="s">
        <v>70</v>
      </c>
      <c r="E107" s="37" t="s">
        <v>141</v>
      </c>
      <c r="F107" s="37"/>
      <c r="G107" s="13" t="s">
        <v>55</v>
      </c>
      <c r="H107" s="47"/>
      <c r="I107" s="47" t="s">
        <v>141</v>
      </c>
      <c r="J107" s="50"/>
      <c r="K107" s="52"/>
      <c r="L107" s="2"/>
    </row>
    <row r="108" spans="1:12" ht="31.5" x14ac:dyDescent="0.25">
      <c r="A108" s="9"/>
      <c r="B108" s="8"/>
      <c r="C108" s="4"/>
      <c r="D108" s="15" t="s">
        <v>197</v>
      </c>
      <c r="E108" s="37"/>
      <c r="F108" s="37"/>
      <c r="G108" s="13" t="s">
        <v>31</v>
      </c>
      <c r="H108" s="47"/>
      <c r="I108" s="69"/>
      <c r="J108" s="50"/>
      <c r="K108" s="52"/>
      <c r="L108" s="2"/>
    </row>
    <row r="109" spans="1:12" ht="18.75" x14ac:dyDescent="0.25">
      <c r="A109" s="9"/>
      <c r="B109" s="8"/>
      <c r="C109" s="4"/>
      <c r="D109" s="15" t="s">
        <v>171</v>
      </c>
      <c r="E109" s="37"/>
      <c r="F109" s="37"/>
      <c r="G109" s="13" t="s">
        <v>31</v>
      </c>
      <c r="H109" s="47"/>
      <c r="I109" s="47"/>
      <c r="J109" s="50"/>
      <c r="K109" s="52"/>
      <c r="L109" s="2"/>
    </row>
    <row r="110" spans="1:12" ht="31.5" x14ac:dyDescent="0.25">
      <c r="A110" s="9" t="s">
        <v>21</v>
      </c>
      <c r="B110" s="8"/>
      <c r="C110" s="4"/>
      <c r="D110" s="15" t="s">
        <v>71</v>
      </c>
      <c r="E110" s="37" t="s">
        <v>141</v>
      </c>
      <c r="F110" s="37" t="s">
        <v>141</v>
      </c>
      <c r="G110" s="13" t="s">
        <v>145</v>
      </c>
      <c r="H110" s="47" t="s">
        <v>141</v>
      </c>
      <c r="I110" s="47" t="s">
        <v>141</v>
      </c>
      <c r="J110" s="50"/>
      <c r="K110" s="52"/>
      <c r="L110" s="2"/>
    </row>
    <row r="111" spans="1:12" ht="18.75" x14ac:dyDescent="0.25">
      <c r="A111" s="41"/>
      <c r="B111" s="42"/>
      <c r="C111" s="20"/>
      <c r="D111" s="28"/>
      <c r="E111" s="40"/>
      <c r="F111" s="40"/>
      <c r="G111" s="29"/>
      <c r="H111" s="47"/>
      <c r="I111" s="55">
        <f>SUM(I101:I110)</f>
        <v>39425.333333333336</v>
      </c>
      <c r="J111" s="50"/>
      <c r="K111" s="52"/>
      <c r="L111" s="2"/>
    </row>
    <row r="112" spans="1:12" ht="18.75" x14ac:dyDescent="0.3">
      <c r="A112" s="82" t="s">
        <v>73</v>
      </c>
      <c r="B112" s="83"/>
      <c r="C112" s="83"/>
      <c r="D112" s="83"/>
      <c r="E112" s="83"/>
      <c r="F112" s="83"/>
      <c r="G112" s="84"/>
      <c r="H112" s="50"/>
      <c r="I112" s="54"/>
      <c r="J112" s="50"/>
      <c r="K112" s="52"/>
      <c r="L112" s="2"/>
    </row>
    <row r="113" spans="1:12" ht="37.5" x14ac:dyDescent="0.25">
      <c r="A113" s="9" t="s">
        <v>93</v>
      </c>
      <c r="B113" s="8"/>
      <c r="C113" s="4"/>
      <c r="D113" s="4" t="s">
        <v>130</v>
      </c>
      <c r="E113" s="29"/>
      <c r="F113" s="13">
        <f>4+5+10+6+3+4+12+12+8+1</f>
        <v>65</v>
      </c>
      <c r="G113" s="13" t="s">
        <v>117</v>
      </c>
      <c r="H113" s="57">
        <f>(2808.4+3510.8+7064.6+4238.8+2202+2937.2+8806.4+8921.6+5948.8+742.2)/F113/3</f>
        <v>241.95282051282052</v>
      </c>
      <c r="I113" s="57">
        <f>F113*H113</f>
        <v>15726.933333333334</v>
      </c>
      <c r="J113" s="50" t="s">
        <v>118</v>
      </c>
      <c r="K113" s="52"/>
      <c r="L113" s="2"/>
    </row>
    <row r="114" spans="1:12" ht="31.5" x14ac:dyDescent="0.25">
      <c r="A114" s="9"/>
      <c r="B114" s="8"/>
      <c r="C114" s="4"/>
      <c r="D114" s="15" t="s">
        <v>160</v>
      </c>
      <c r="E114" s="37" t="s">
        <v>141</v>
      </c>
      <c r="F114" s="37"/>
      <c r="G114" s="13" t="s">
        <v>154</v>
      </c>
      <c r="H114" s="55"/>
      <c r="I114" s="69"/>
      <c r="J114" s="50"/>
      <c r="K114" s="52"/>
      <c r="L114" s="2"/>
    </row>
    <row r="115" spans="1:12" ht="18.75" x14ac:dyDescent="0.25">
      <c r="A115" s="9" t="s">
        <v>84</v>
      </c>
      <c r="B115" s="8"/>
      <c r="C115" s="4"/>
      <c r="D115" s="15" t="s">
        <v>70</v>
      </c>
      <c r="E115" s="37" t="s">
        <v>141</v>
      </c>
      <c r="F115" s="37"/>
      <c r="G115" s="14" t="s">
        <v>55</v>
      </c>
      <c r="H115" s="47"/>
      <c r="I115" s="47" t="s">
        <v>141</v>
      </c>
      <c r="J115" s="50"/>
      <c r="K115" s="52"/>
      <c r="L115" s="2"/>
    </row>
    <row r="116" spans="1:12" ht="18.75" x14ac:dyDescent="0.25">
      <c r="A116" s="9"/>
      <c r="B116" s="8"/>
      <c r="C116" s="4"/>
      <c r="D116" s="15" t="s">
        <v>216</v>
      </c>
      <c r="E116" s="37"/>
      <c r="F116" s="37">
        <v>1</v>
      </c>
      <c r="G116" s="14" t="s">
        <v>31</v>
      </c>
      <c r="H116" s="47">
        <f>2955.2/F116</f>
        <v>2955.2</v>
      </c>
      <c r="I116" s="47">
        <f>F116*H116</f>
        <v>2955.2</v>
      </c>
      <c r="J116" s="50" t="s">
        <v>124</v>
      </c>
      <c r="K116" s="52"/>
      <c r="L116" s="2"/>
    </row>
    <row r="117" spans="1:12" ht="18.75" x14ac:dyDescent="0.25">
      <c r="A117" s="9"/>
      <c r="B117" s="8"/>
      <c r="C117" s="4"/>
      <c r="D117" s="15" t="s">
        <v>170</v>
      </c>
      <c r="E117" s="37"/>
      <c r="F117" s="37"/>
      <c r="G117" s="13" t="s">
        <v>31</v>
      </c>
      <c r="H117" s="47"/>
      <c r="I117" s="69"/>
      <c r="J117" s="50"/>
      <c r="K117" s="52"/>
      <c r="L117" s="2"/>
    </row>
    <row r="118" spans="1:12" ht="31.5" x14ac:dyDescent="0.25">
      <c r="A118" s="9" t="s">
        <v>21</v>
      </c>
      <c r="B118" s="8"/>
      <c r="C118" s="4"/>
      <c r="D118" s="15" t="s">
        <v>71</v>
      </c>
      <c r="E118" s="37" t="s">
        <v>141</v>
      </c>
      <c r="F118" s="37" t="s">
        <v>141</v>
      </c>
      <c r="G118" s="14" t="s">
        <v>55</v>
      </c>
      <c r="H118" s="47" t="s">
        <v>141</v>
      </c>
      <c r="I118" s="47" t="s">
        <v>141</v>
      </c>
      <c r="J118" s="50"/>
      <c r="K118" s="52"/>
      <c r="L118" s="2"/>
    </row>
    <row r="119" spans="1:12" ht="18.75" x14ac:dyDescent="0.25">
      <c r="A119" s="41"/>
      <c r="B119" s="42"/>
      <c r="C119" s="20"/>
      <c r="D119" s="28"/>
      <c r="E119" s="40"/>
      <c r="F119" s="40"/>
      <c r="G119" s="12"/>
      <c r="H119" s="47"/>
      <c r="I119" s="55">
        <f>SUM(I113:I118)</f>
        <v>18682.133333333335</v>
      </c>
      <c r="J119" s="50"/>
      <c r="K119" s="52"/>
      <c r="L119" s="2"/>
    </row>
    <row r="120" spans="1:12" ht="18.75" x14ac:dyDescent="0.3">
      <c r="A120" s="82" t="s">
        <v>74</v>
      </c>
      <c r="B120" s="83"/>
      <c r="C120" s="83"/>
      <c r="D120" s="83"/>
      <c r="E120" s="83"/>
      <c r="F120" s="83"/>
      <c r="G120" s="84"/>
      <c r="H120" s="58"/>
      <c r="I120" s="54"/>
      <c r="J120" s="50"/>
      <c r="K120" s="52"/>
      <c r="L120" s="2"/>
    </row>
    <row r="121" spans="1:12" ht="37.5" x14ac:dyDescent="0.25">
      <c r="A121" s="9" t="s">
        <v>99</v>
      </c>
      <c r="B121" s="8"/>
      <c r="C121" s="4"/>
      <c r="D121" s="4" t="s">
        <v>131</v>
      </c>
      <c r="E121" s="29"/>
      <c r="F121" s="13">
        <f>4+5+10+6+3+4+12+12+8+1</f>
        <v>65</v>
      </c>
      <c r="G121" s="13" t="s">
        <v>117</v>
      </c>
      <c r="H121" s="57">
        <f>(2808.4+3510.8+7064.6+4238.8+2202+2937.2+8806.4+8921.6+5948.8+742.2)/F121/3</f>
        <v>241.95282051282052</v>
      </c>
      <c r="I121" s="57">
        <f>F121*H121</f>
        <v>15726.933333333334</v>
      </c>
      <c r="J121" s="50" t="s">
        <v>118</v>
      </c>
      <c r="K121" s="52"/>
      <c r="L121" s="2"/>
    </row>
    <row r="122" spans="1:12" ht="31.5" x14ac:dyDescent="0.25">
      <c r="A122" s="9"/>
      <c r="B122" s="8"/>
      <c r="C122" s="4"/>
      <c r="D122" s="15" t="s">
        <v>123</v>
      </c>
      <c r="E122" s="37"/>
      <c r="F122" s="37"/>
      <c r="G122" s="13" t="s">
        <v>30</v>
      </c>
      <c r="H122" s="47"/>
      <c r="I122" s="69"/>
      <c r="J122" s="50"/>
      <c r="K122" s="52"/>
      <c r="L122" s="2"/>
    </row>
    <row r="123" spans="1:12" ht="18.75" x14ac:dyDescent="0.25">
      <c r="A123" s="9"/>
      <c r="B123" s="8"/>
      <c r="C123" s="4"/>
      <c r="D123" s="4" t="s">
        <v>116</v>
      </c>
      <c r="E123" s="37"/>
      <c r="F123" s="37">
        <f>12+12+12+12+12+12+12+4</f>
        <v>88</v>
      </c>
      <c r="G123" s="13" t="s">
        <v>30</v>
      </c>
      <c r="H123" s="55">
        <f>(4010.2+4074.2+4074.2+4247+4247+4247+4295.4+1433.6)/F123</f>
        <v>348.05227272727274</v>
      </c>
      <c r="I123" s="55">
        <f>F123*H123</f>
        <v>30628.600000000002</v>
      </c>
      <c r="J123" s="50" t="s">
        <v>118</v>
      </c>
      <c r="K123" s="52"/>
      <c r="L123" s="2"/>
    </row>
    <row r="124" spans="1:12" ht="18.75" x14ac:dyDescent="0.25">
      <c r="A124" s="9" t="s">
        <v>22</v>
      </c>
      <c r="B124" s="8"/>
      <c r="C124" s="4"/>
      <c r="D124" s="4" t="s">
        <v>77</v>
      </c>
      <c r="E124" s="37" t="s">
        <v>141</v>
      </c>
      <c r="F124" s="37" t="s">
        <v>141</v>
      </c>
      <c r="G124" s="13" t="s">
        <v>30</v>
      </c>
      <c r="H124" s="47" t="s">
        <v>141</v>
      </c>
      <c r="I124" s="47" t="s">
        <v>141</v>
      </c>
      <c r="J124" s="50"/>
      <c r="K124" s="52"/>
      <c r="L124" s="2"/>
    </row>
    <row r="125" spans="1:12" ht="18.75" x14ac:dyDescent="0.25">
      <c r="A125" s="41"/>
      <c r="B125" s="42"/>
      <c r="C125" s="20"/>
      <c r="D125" s="20"/>
      <c r="E125" s="40"/>
      <c r="F125" s="40"/>
      <c r="G125" s="29"/>
      <c r="H125" s="47"/>
      <c r="I125" s="55">
        <f>SUM(I121:I124)</f>
        <v>46355.53333333334</v>
      </c>
      <c r="J125" s="50"/>
      <c r="K125" s="52"/>
      <c r="L125" s="2"/>
    </row>
    <row r="126" spans="1:12" ht="18.75" x14ac:dyDescent="0.3">
      <c r="A126" s="82" t="s">
        <v>79</v>
      </c>
      <c r="B126" s="83"/>
      <c r="C126" s="83"/>
      <c r="D126" s="83"/>
      <c r="E126" s="83"/>
      <c r="F126" s="83"/>
      <c r="G126" s="84"/>
      <c r="H126" s="54"/>
      <c r="I126" s="54"/>
      <c r="J126" s="50"/>
      <c r="K126" s="52"/>
      <c r="L126" s="2"/>
    </row>
    <row r="127" spans="1:12" ht="38.25" customHeight="1" x14ac:dyDescent="0.25">
      <c r="A127" s="9" t="s">
        <v>23</v>
      </c>
      <c r="B127" s="5"/>
      <c r="C127" s="4"/>
      <c r="D127" s="15" t="s">
        <v>143</v>
      </c>
      <c r="E127" s="37" t="s">
        <v>141</v>
      </c>
      <c r="F127" s="37" t="s">
        <v>141</v>
      </c>
      <c r="G127" s="13" t="s">
        <v>55</v>
      </c>
      <c r="H127" s="47" t="s">
        <v>141</v>
      </c>
      <c r="I127" s="47" t="s">
        <v>141</v>
      </c>
      <c r="J127" s="50"/>
      <c r="K127" s="52"/>
      <c r="L127" s="2"/>
    </row>
    <row r="128" spans="1:12" ht="18.75" x14ac:dyDescent="0.25">
      <c r="A128" s="9" t="s">
        <v>24</v>
      </c>
      <c r="B128" s="5"/>
      <c r="C128" s="4"/>
      <c r="D128" s="4" t="s">
        <v>78</v>
      </c>
      <c r="E128" s="37" t="s">
        <v>141</v>
      </c>
      <c r="F128" s="37"/>
      <c r="G128" s="13" t="s">
        <v>55</v>
      </c>
      <c r="H128" s="47"/>
      <c r="I128" s="47" t="s">
        <v>141</v>
      </c>
      <c r="J128" s="50"/>
      <c r="K128" s="52"/>
      <c r="L128" s="2"/>
    </row>
    <row r="129" spans="1:12" ht="31.5" x14ac:dyDescent="0.25">
      <c r="A129" s="9" t="s">
        <v>128</v>
      </c>
      <c r="B129" s="5"/>
      <c r="C129" s="4"/>
      <c r="D129" s="15" t="s">
        <v>152</v>
      </c>
      <c r="E129" s="37" t="s">
        <v>141</v>
      </c>
      <c r="F129" s="37"/>
      <c r="G129" s="13" t="s">
        <v>55</v>
      </c>
      <c r="H129" s="47"/>
      <c r="I129" s="47" t="s">
        <v>141</v>
      </c>
      <c r="J129" s="50"/>
      <c r="K129" s="52"/>
      <c r="L129" s="2"/>
    </row>
    <row r="130" spans="1:12" ht="18.75" x14ac:dyDescent="0.25">
      <c r="A130" s="9"/>
      <c r="B130" s="5"/>
      <c r="C130" s="4"/>
      <c r="D130" s="15" t="s">
        <v>159</v>
      </c>
      <c r="E130" s="37" t="s">
        <v>141</v>
      </c>
      <c r="F130" s="37"/>
      <c r="G130" s="13" t="s">
        <v>148</v>
      </c>
      <c r="H130" s="47"/>
      <c r="I130" s="47" t="s">
        <v>141</v>
      </c>
      <c r="J130" s="50"/>
      <c r="K130" s="52"/>
      <c r="L130" s="2"/>
    </row>
    <row r="131" spans="1:12" ht="43.5" customHeight="1" x14ac:dyDescent="0.25">
      <c r="A131" s="9"/>
      <c r="B131" s="5"/>
      <c r="C131" s="4"/>
      <c r="D131" s="15" t="s">
        <v>224</v>
      </c>
      <c r="E131" s="37"/>
      <c r="F131" s="37">
        <v>20</v>
      </c>
      <c r="G131" s="13" t="s">
        <v>31</v>
      </c>
      <c r="H131" s="47">
        <f>19751.4/F131</f>
        <v>987.57</v>
      </c>
      <c r="I131" s="69">
        <f>F131*H131</f>
        <v>19751.400000000001</v>
      </c>
      <c r="J131" s="50" t="s">
        <v>122</v>
      </c>
      <c r="K131" s="52"/>
      <c r="L131" s="2"/>
    </row>
    <row r="132" spans="1:12" ht="18.75" x14ac:dyDescent="0.25">
      <c r="A132" s="9"/>
      <c r="B132" s="5"/>
      <c r="C132" s="4"/>
      <c r="D132" s="15" t="s">
        <v>177</v>
      </c>
      <c r="E132" s="37"/>
      <c r="F132" s="37">
        <f>30+48</f>
        <v>78</v>
      </c>
      <c r="G132" s="13" t="s">
        <v>148</v>
      </c>
      <c r="H132" s="55">
        <f>(8423.8+11521.8)/F132</f>
        <v>255.71282051282049</v>
      </c>
      <c r="I132" s="69">
        <f>F132*H132</f>
        <v>19945.599999999999</v>
      </c>
      <c r="J132" s="50" t="s">
        <v>124</v>
      </c>
      <c r="K132" s="52"/>
      <c r="L132" s="2"/>
    </row>
    <row r="133" spans="1:12" ht="18.75" x14ac:dyDescent="0.25">
      <c r="A133" s="9"/>
      <c r="B133" s="5"/>
      <c r="C133" s="4"/>
      <c r="D133" s="15" t="s">
        <v>178</v>
      </c>
      <c r="E133" s="37"/>
      <c r="F133" s="37">
        <f>10</f>
        <v>10</v>
      </c>
      <c r="G133" s="13" t="s">
        <v>148</v>
      </c>
      <c r="H133" s="47">
        <f>3807.6/F133</f>
        <v>380.76</v>
      </c>
      <c r="I133" s="69">
        <f>F133*H133</f>
        <v>3807.6</v>
      </c>
      <c r="J133" s="50" t="s">
        <v>124</v>
      </c>
      <c r="K133" s="52"/>
      <c r="L133" s="2"/>
    </row>
    <row r="134" spans="1:12" ht="18.75" x14ac:dyDescent="0.25">
      <c r="A134" s="9"/>
      <c r="B134" s="5"/>
      <c r="C134" s="4"/>
      <c r="D134" s="15" t="s">
        <v>194</v>
      </c>
      <c r="E134" s="37"/>
      <c r="F134" s="37">
        <f>80+4</f>
        <v>84</v>
      </c>
      <c r="G134" s="13" t="s">
        <v>31</v>
      </c>
      <c r="H134" s="55">
        <f>(4736.8+238.6+164.4)/F134</f>
        <v>61.188095238095244</v>
      </c>
      <c r="I134" s="49">
        <f>F134*H134</f>
        <v>5139.8</v>
      </c>
      <c r="J134" s="50" t="s">
        <v>120</v>
      </c>
      <c r="K134" s="52"/>
      <c r="L134" s="2"/>
    </row>
    <row r="135" spans="1:12" ht="31.5" x14ac:dyDescent="0.25">
      <c r="A135" s="9"/>
      <c r="B135" s="5"/>
      <c r="C135" s="4"/>
      <c r="D135" s="15" t="s">
        <v>195</v>
      </c>
      <c r="E135" s="37"/>
      <c r="F135" s="37">
        <f>80+4+1</f>
        <v>85</v>
      </c>
      <c r="G135" s="13" t="s">
        <v>31</v>
      </c>
      <c r="H135" s="55">
        <f>(166718.6+8951.4+2004.2)/F135</f>
        <v>2090.2847058823531</v>
      </c>
      <c r="I135" s="49">
        <f>F135*H135</f>
        <v>177674.2</v>
      </c>
      <c r="J135" s="50" t="s">
        <v>120</v>
      </c>
      <c r="K135" s="52"/>
      <c r="L135" s="2"/>
    </row>
    <row r="136" spans="1:12" ht="18.75" x14ac:dyDescent="0.25">
      <c r="A136" s="9"/>
      <c r="B136" s="5"/>
      <c r="C136" s="4"/>
      <c r="D136" s="15" t="s">
        <v>166</v>
      </c>
      <c r="E136" s="37"/>
      <c r="F136" s="37"/>
      <c r="G136" s="13" t="s">
        <v>55</v>
      </c>
      <c r="H136" s="47"/>
      <c r="I136" s="47" t="s">
        <v>141</v>
      </c>
      <c r="J136" s="50"/>
      <c r="K136" s="52"/>
      <c r="L136" s="2"/>
    </row>
    <row r="137" spans="1:12" ht="18.75" x14ac:dyDescent="0.25">
      <c r="A137" s="9"/>
      <c r="B137" s="5"/>
      <c r="C137" s="4"/>
      <c r="D137" s="15" t="s">
        <v>108</v>
      </c>
      <c r="E137" s="30"/>
      <c r="F137" s="13">
        <f>4+3+9+3+4+2+7+6</f>
        <v>38</v>
      </c>
      <c r="G137" s="13" t="s">
        <v>55</v>
      </c>
      <c r="H137" s="57">
        <f>(699+525+1520.6+507.8+676.8+343.4+1201+1036.2)/F137</f>
        <v>171.31052631578945</v>
      </c>
      <c r="I137" s="50">
        <f t="shared" ref="I137" si="7">F137*H137</f>
        <v>6509.7999999999993</v>
      </c>
      <c r="J137" s="50" t="s">
        <v>118</v>
      </c>
      <c r="K137" s="52"/>
      <c r="L137" s="2"/>
    </row>
    <row r="138" spans="1:12" ht="18.75" x14ac:dyDescent="0.25">
      <c r="A138" s="9"/>
      <c r="B138" s="5"/>
      <c r="C138" s="4"/>
      <c r="D138" s="15" t="s">
        <v>142</v>
      </c>
      <c r="E138" s="37"/>
      <c r="F138" s="37"/>
      <c r="G138" s="13" t="s">
        <v>31</v>
      </c>
      <c r="H138" s="47"/>
      <c r="I138" s="47" t="s">
        <v>141</v>
      </c>
      <c r="J138" s="50"/>
      <c r="K138" s="52"/>
      <c r="L138" s="2"/>
    </row>
    <row r="139" spans="1:12" ht="18.75" x14ac:dyDescent="0.25">
      <c r="A139" s="9"/>
      <c r="B139" s="5"/>
      <c r="C139" s="4"/>
      <c r="D139" s="15" t="s">
        <v>244</v>
      </c>
      <c r="E139" s="37"/>
      <c r="F139" s="37">
        <f>1</f>
        <v>1</v>
      </c>
      <c r="G139" s="13" t="s">
        <v>31</v>
      </c>
      <c r="H139" s="47">
        <f>1313.6/F139</f>
        <v>1313.6</v>
      </c>
      <c r="I139" s="69">
        <f>F139*H139</f>
        <v>1313.6</v>
      </c>
      <c r="J139" s="50" t="s">
        <v>120</v>
      </c>
      <c r="K139" s="52"/>
      <c r="L139" s="2"/>
    </row>
    <row r="140" spans="1:12" ht="56.25" x14ac:dyDescent="0.25">
      <c r="A140" s="9" t="s">
        <v>109</v>
      </c>
      <c r="B140" s="5"/>
      <c r="C140" s="4"/>
      <c r="D140" s="15" t="s">
        <v>126</v>
      </c>
      <c r="E140" s="30"/>
      <c r="F140" s="13">
        <f>50+50+50+50+50+50+50+50+50+50+50+50</f>
        <v>600</v>
      </c>
      <c r="G140" s="13" t="s">
        <v>110</v>
      </c>
      <c r="H140" s="57">
        <f>(4931.6+4931.6+4931.6+4961.2+4961.2+4961.2+5155.8+5155.8+5155.8+5221.2+5221.2+5221.2)/F140</f>
        <v>101.349</v>
      </c>
      <c r="I140" s="50">
        <f>F140*H140</f>
        <v>60809.4</v>
      </c>
      <c r="J140" s="50" t="s">
        <v>118</v>
      </c>
      <c r="K140" s="52"/>
      <c r="L140" s="2"/>
    </row>
    <row r="141" spans="1:12" ht="18.75" x14ac:dyDescent="0.25">
      <c r="A141" s="41"/>
      <c r="B141" s="20"/>
      <c r="C141" s="20"/>
      <c r="D141" s="28"/>
      <c r="E141" s="43"/>
      <c r="F141" s="44"/>
      <c r="G141" s="29"/>
      <c r="H141" s="60"/>
      <c r="I141" s="50">
        <f>SUM(I128:I140)</f>
        <v>294951.40000000002</v>
      </c>
      <c r="J141" s="50"/>
      <c r="K141" s="52"/>
      <c r="L141" s="2"/>
    </row>
    <row r="142" spans="1:12" ht="18.75" x14ac:dyDescent="0.25">
      <c r="A142" s="91" t="s">
        <v>92</v>
      </c>
      <c r="B142" s="92"/>
      <c r="C142" s="92"/>
      <c r="D142" s="92"/>
      <c r="E142" s="92"/>
      <c r="F142" s="92"/>
      <c r="G142" s="93"/>
      <c r="H142" s="61"/>
      <c r="I142" s="54"/>
      <c r="J142" s="50"/>
      <c r="K142" s="52"/>
      <c r="L142" s="2"/>
    </row>
    <row r="143" spans="1:12" ht="18.75" x14ac:dyDescent="0.25">
      <c r="A143" s="24"/>
      <c r="B143" s="25"/>
      <c r="C143" s="25"/>
      <c r="D143" s="33" t="s">
        <v>119</v>
      </c>
      <c r="E143" s="37"/>
      <c r="F143" s="37">
        <f>1+1</f>
        <v>2</v>
      </c>
      <c r="G143" s="35" t="s">
        <v>31</v>
      </c>
      <c r="H143" s="47">
        <f>(1317+1369.8)/F143</f>
        <v>1343.4</v>
      </c>
      <c r="I143" s="47">
        <f>F143*H143</f>
        <v>2686.8</v>
      </c>
      <c r="J143" s="50" t="s">
        <v>150</v>
      </c>
      <c r="K143" s="52"/>
      <c r="L143" s="2"/>
    </row>
    <row r="144" spans="1:12" ht="63" x14ac:dyDescent="0.25">
      <c r="A144" s="9" t="s">
        <v>90</v>
      </c>
      <c r="B144" s="20"/>
      <c r="C144" s="20"/>
      <c r="D144" s="21" t="s">
        <v>121</v>
      </c>
      <c r="E144" s="34">
        <v>2382</v>
      </c>
      <c r="F144" s="13">
        <v>2382</v>
      </c>
      <c r="G144" s="29" t="s">
        <v>91</v>
      </c>
      <c r="H144" s="60">
        <v>4.8</v>
      </c>
      <c r="I144" s="50">
        <f>F144*H144*12</f>
        <v>137203.20000000001</v>
      </c>
      <c r="J144" s="50" t="s">
        <v>118</v>
      </c>
      <c r="K144" s="52"/>
      <c r="L144" s="2"/>
    </row>
    <row r="145" spans="1:12" ht="18.75" x14ac:dyDescent="0.25">
      <c r="A145" s="41"/>
      <c r="B145" s="20"/>
      <c r="C145" s="20"/>
      <c r="D145" s="28"/>
      <c r="E145" s="43"/>
      <c r="F145" s="44"/>
      <c r="G145" s="29"/>
      <c r="H145" s="60"/>
      <c r="I145" s="50">
        <f>SUM(I143:I144)</f>
        <v>139890</v>
      </c>
      <c r="J145" s="50"/>
      <c r="K145" s="52"/>
      <c r="L145" s="2"/>
    </row>
    <row r="146" spans="1:12" ht="18.75" x14ac:dyDescent="0.3">
      <c r="A146" s="82" t="s">
        <v>80</v>
      </c>
      <c r="B146" s="83"/>
      <c r="C146" s="83"/>
      <c r="D146" s="83"/>
      <c r="E146" s="83"/>
      <c r="F146" s="83"/>
      <c r="G146" s="84"/>
      <c r="H146" s="58"/>
      <c r="I146" s="54"/>
      <c r="J146" s="50"/>
      <c r="K146" s="52"/>
      <c r="L146" s="2"/>
    </row>
    <row r="147" spans="1:12" ht="46.5" customHeight="1" x14ac:dyDescent="0.3">
      <c r="A147" s="31" t="s">
        <v>133</v>
      </c>
      <c r="B147" s="22"/>
      <c r="C147" s="22"/>
      <c r="D147" s="32" t="s">
        <v>132</v>
      </c>
      <c r="E147" s="13">
        <v>410</v>
      </c>
      <c r="F147" s="13">
        <v>410</v>
      </c>
      <c r="G147" s="13" t="s">
        <v>140</v>
      </c>
      <c r="H147" s="50">
        <v>13</v>
      </c>
      <c r="I147" s="50">
        <f>F147*H147*3</f>
        <v>15990</v>
      </c>
      <c r="J147" s="50" t="s">
        <v>151</v>
      </c>
      <c r="K147" s="52"/>
      <c r="L147" s="2"/>
    </row>
    <row r="148" spans="1:12" ht="18.75" x14ac:dyDescent="0.25">
      <c r="A148" s="9" t="s">
        <v>25</v>
      </c>
      <c r="B148" s="5"/>
      <c r="C148" s="4"/>
      <c r="D148" s="4" t="s">
        <v>76</v>
      </c>
      <c r="E148" s="37" t="s">
        <v>141</v>
      </c>
      <c r="F148" s="37" t="s">
        <v>141</v>
      </c>
      <c r="G148" s="14" t="s">
        <v>55</v>
      </c>
      <c r="H148" s="47" t="s">
        <v>141</v>
      </c>
      <c r="I148" s="47" t="s">
        <v>141</v>
      </c>
      <c r="J148" s="50"/>
      <c r="K148" s="52"/>
      <c r="L148" s="2"/>
    </row>
    <row r="149" spans="1:12" ht="47.25" x14ac:dyDescent="0.25">
      <c r="A149" s="9" t="s">
        <v>26</v>
      </c>
      <c r="B149" s="5"/>
      <c r="C149" s="4"/>
      <c r="D149" s="15" t="s">
        <v>28</v>
      </c>
      <c r="E149" s="37" t="s">
        <v>141</v>
      </c>
      <c r="F149" s="37" t="s">
        <v>141</v>
      </c>
      <c r="G149" s="14" t="s">
        <v>55</v>
      </c>
      <c r="H149" s="47" t="s">
        <v>141</v>
      </c>
      <c r="I149" s="47" t="s">
        <v>141</v>
      </c>
      <c r="J149" s="50"/>
      <c r="K149" s="52"/>
      <c r="L149" s="2"/>
    </row>
    <row r="150" spans="1:12" ht="31.5" x14ac:dyDescent="0.25">
      <c r="A150" s="9" t="s">
        <v>27</v>
      </c>
      <c r="B150" s="5"/>
      <c r="C150" s="4"/>
      <c r="D150" s="15" t="s">
        <v>75</v>
      </c>
      <c r="E150" s="37" t="s">
        <v>141</v>
      </c>
      <c r="F150" s="37" t="s">
        <v>141</v>
      </c>
      <c r="G150" s="14" t="s">
        <v>55</v>
      </c>
      <c r="H150" s="47" t="s">
        <v>141</v>
      </c>
      <c r="I150" s="47" t="s">
        <v>141</v>
      </c>
      <c r="J150" s="50"/>
      <c r="K150" s="52"/>
      <c r="L150" s="2"/>
    </row>
    <row r="151" spans="1:12" ht="18.75" x14ac:dyDescent="0.25">
      <c r="A151" s="41"/>
      <c r="B151" s="20"/>
      <c r="C151" s="20"/>
      <c r="D151" s="28"/>
      <c r="E151" s="40"/>
      <c r="F151" s="40"/>
      <c r="G151" s="12"/>
      <c r="H151" s="62"/>
      <c r="I151" s="62">
        <f>SUM(I147:I150)</f>
        <v>15990</v>
      </c>
      <c r="J151" s="50"/>
      <c r="K151" s="52"/>
      <c r="L151" s="2"/>
    </row>
    <row r="152" spans="1:12" ht="18.75" x14ac:dyDescent="0.3">
      <c r="A152" s="82" t="s">
        <v>85</v>
      </c>
      <c r="B152" s="83"/>
      <c r="C152" s="83"/>
      <c r="D152" s="83"/>
      <c r="E152" s="83"/>
      <c r="F152" s="83"/>
      <c r="G152" s="84"/>
      <c r="H152" s="63"/>
      <c r="I152" s="63"/>
      <c r="J152" s="63"/>
      <c r="K152" s="51"/>
      <c r="L152" s="2"/>
    </row>
    <row r="153" spans="1:12" ht="48" x14ac:dyDescent="0.3">
      <c r="A153" s="6" t="s">
        <v>67</v>
      </c>
      <c r="B153" s="6"/>
      <c r="C153" s="4"/>
      <c r="D153" s="15" t="s">
        <v>86</v>
      </c>
      <c r="E153" s="37" t="s">
        <v>141</v>
      </c>
      <c r="F153" s="37" t="s">
        <v>141</v>
      </c>
      <c r="G153" s="13" t="s">
        <v>30</v>
      </c>
      <c r="H153" s="47" t="s">
        <v>141</v>
      </c>
      <c r="I153" s="47" t="s">
        <v>141</v>
      </c>
      <c r="J153" s="54"/>
      <c r="K153" s="52"/>
      <c r="L153" s="2"/>
    </row>
    <row r="154" spans="1:12" ht="32.25" x14ac:dyDescent="0.3">
      <c r="A154" s="26"/>
      <c r="B154" s="27"/>
      <c r="C154" s="20"/>
      <c r="D154" s="28" t="s">
        <v>111</v>
      </c>
      <c r="E154" s="37">
        <v>1</v>
      </c>
      <c r="F154" s="37">
        <v>1</v>
      </c>
      <c r="G154" s="13" t="s">
        <v>112</v>
      </c>
      <c r="H154" s="47">
        <v>47936</v>
      </c>
      <c r="I154" s="64">
        <f>F154*H154</f>
        <v>47936</v>
      </c>
      <c r="J154" s="65" t="s">
        <v>120</v>
      </c>
      <c r="K154" s="52"/>
      <c r="L154" s="2"/>
    </row>
    <row r="155" spans="1:12" ht="18.75" x14ac:dyDescent="0.3">
      <c r="A155" s="26"/>
      <c r="B155" s="27"/>
      <c r="C155" s="20"/>
      <c r="D155" s="28"/>
      <c r="E155" s="40"/>
      <c r="F155" s="40"/>
      <c r="G155" s="29"/>
      <c r="H155" s="66"/>
      <c r="I155" s="67">
        <f>SUM(I154)</f>
        <v>47936</v>
      </c>
      <c r="J155" s="68"/>
      <c r="K155" s="52"/>
      <c r="L155" s="2"/>
    </row>
    <row r="156" spans="1:12" ht="18.75" x14ac:dyDescent="0.3">
      <c r="A156" s="82" t="s">
        <v>100</v>
      </c>
      <c r="B156" s="83"/>
      <c r="C156" s="83"/>
      <c r="D156" s="83"/>
      <c r="E156" s="83"/>
      <c r="F156" s="83"/>
      <c r="G156" s="84"/>
      <c r="H156" s="85"/>
      <c r="I156" s="86"/>
      <c r="J156" s="86"/>
      <c r="K156" s="52"/>
      <c r="L156" s="2"/>
    </row>
    <row r="157" spans="1:12" ht="32.25" x14ac:dyDescent="0.3">
      <c r="A157" s="31" t="s">
        <v>149</v>
      </c>
      <c r="B157" s="22"/>
      <c r="C157" s="22"/>
      <c r="D157" s="36" t="s">
        <v>135</v>
      </c>
      <c r="E157" s="13"/>
      <c r="F157" s="13">
        <v>1</v>
      </c>
      <c r="G157" s="13" t="s">
        <v>136</v>
      </c>
      <c r="H157" s="50">
        <f>800/F157</f>
        <v>800</v>
      </c>
      <c r="I157" s="71">
        <f t="shared" ref="I157:I160" si="8">F157*H157</f>
        <v>800</v>
      </c>
      <c r="J157" s="50" t="s">
        <v>125</v>
      </c>
      <c r="K157" s="52"/>
      <c r="L157" s="2"/>
    </row>
    <row r="158" spans="1:12" ht="48" x14ac:dyDescent="0.3">
      <c r="A158" s="22"/>
      <c r="B158" s="22"/>
      <c r="C158" s="22"/>
      <c r="D158" s="36" t="s">
        <v>137</v>
      </c>
      <c r="E158" s="37"/>
      <c r="F158" s="37">
        <f>100+100</f>
        <v>200</v>
      </c>
      <c r="G158" s="13" t="s">
        <v>138</v>
      </c>
      <c r="H158" s="47">
        <f>(70000+70000)/F158</f>
        <v>700</v>
      </c>
      <c r="I158" s="49">
        <f>F158*H158</f>
        <v>140000</v>
      </c>
      <c r="J158" s="50" t="s">
        <v>125</v>
      </c>
      <c r="K158" s="52"/>
      <c r="L158" s="2"/>
    </row>
    <row r="159" spans="1:12" ht="32.25" x14ac:dyDescent="0.3">
      <c r="A159" s="22"/>
      <c r="B159" s="22"/>
      <c r="C159" s="22"/>
      <c r="D159" s="36" t="s">
        <v>174</v>
      </c>
      <c r="E159" s="13"/>
      <c r="F159" s="13">
        <f>690+420+90+120</f>
        <v>1320</v>
      </c>
      <c r="G159" s="13" t="s">
        <v>139</v>
      </c>
      <c r="H159" s="57">
        <f>(31623+19249+4125+5500)/F159</f>
        <v>45.831060606060603</v>
      </c>
      <c r="I159" s="71">
        <f t="shared" si="8"/>
        <v>60497</v>
      </c>
      <c r="J159" s="50" t="s">
        <v>125</v>
      </c>
      <c r="K159" s="52"/>
      <c r="L159" s="2"/>
    </row>
    <row r="160" spans="1:12" ht="32.25" x14ac:dyDescent="0.3">
      <c r="A160" s="22"/>
      <c r="B160" s="22"/>
      <c r="C160" s="22"/>
      <c r="D160" s="36" t="s">
        <v>175</v>
      </c>
      <c r="E160" s="13"/>
      <c r="F160" s="13">
        <f>120</f>
        <v>120</v>
      </c>
      <c r="G160" s="13" t="s">
        <v>139</v>
      </c>
      <c r="H160" s="57">
        <f>5500/F160</f>
        <v>45.833333333333336</v>
      </c>
      <c r="I160" s="71">
        <f t="shared" si="8"/>
        <v>5500</v>
      </c>
      <c r="J160" s="50" t="s">
        <v>125</v>
      </c>
      <c r="K160" s="52"/>
      <c r="L160" s="2"/>
    </row>
    <row r="161" spans="1:12" ht="32.25" x14ac:dyDescent="0.3">
      <c r="A161" s="22"/>
      <c r="B161" s="22"/>
      <c r="C161" s="22"/>
      <c r="D161" s="36" t="s">
        <v>193</v>
      </c>
      <c r="E161" s="13"/>
      <c r="F161" s="13">
        <v>0.57799999999999996</v>
      </c>
      <c r="G161" s="13" t="s">
        <v>192</v>
      </c>
      <c r="H161" s="57">
        <f>4246.4/F161</f>
        <v>7346.7128027681656</v>
      </c>
      <c r="I161" s="70">
        <f t="shared" ref="I161:I165" si="9">F161*H161</f>
        <v>4246.3999999999996</v>
      </c>
      <c r="J161" s="50" t="s">
        <v>124</v>
      </c>
      <c r="K161" s="52"/>
      <c r="L161" s="2"/>
    </row>
    <row r="162" spans="1:12" ht="45" customHeight="1" x14ac:dyDescent="0.3">
      <c r="A162" s="22"/>
      <c r="B162" s="22"/>
      <c r="C162" s="22"/>
      <c r="D162" s="36" t="s">
        <v>233</v>
      </c>
      <c r="E162" s="13"/>
      <c r="F162" s="13">
        <v>4</v>
      </c>
      <c r="G162" s="13" t="s">
        <v>31</v>
      </c>
      <c r="H162" s="50">
        <f>12200.4/F162</f>
        <v>3050.1</v>
      </c>
      <c r="I162" s="70">
        <f t="shared" si="9"/>
        <v>12200.4</v>
      </c>
      <c r="J162" s="53" t="s">
        <v>120</v>
      </c>
      <c r="K162" s="52"/>
      <c r="L162" s="2"/>
    </row>
    <row r="163" spans="1:12" ht="18.75" x14ac:dyDescent="0.3">
      <c r="A163" s="31" t="s">
        <v>212</v>
      </c>
      <c r="B163" s="22"/>
      <c r="C163" s="22"/>
      <c r="D163" s="36" t="s">
        <v>213</v>
      </c>
      <c r="E163" s="13"/>
      <c r="F163" s="13">
        <v>1</v>
      </c>
      <c r="G163" s="13" t="s">
        <v>31</v>
      </c>
      <c r="H163" s="50">
        <f>10000/F163</f>
        <v>10000</v>
      </c>
      <c r="I163" s="70">
        <f t="shared" si="9"/>
        <v>10000</v>
      </c>
      <c r="J163" s="53" t="s">
        <v>120</v>
      </c>
      <c r="K163" s="52"/>
      <c r="L163" s="2"/>
    </row>
    <row r="164" spans="1:12" ht="18.75" x14ac:dyDescent="0.3">
      <c r="A164" s="31"/>
      <c r="B164" s="22"/>
      <c r="C164" s="22"/>
      <c r="D164" s="36" t="s">
        <v>215</v>
      </c>
      <c r="E164" s="13"/>
      <c r="F164" s="13">
        <f>1</f>
        <v>1</v>
      </c>
      <c r="G164" s="13" t="s">
        <v>31</v>
      </c>
      <c r="H164" s="50">
        <f>51000/F164</f>
        <v>51000</v>
      </c>
      <c r="I164" s="70">
        <f>F164*H164</f>
        <v>51000</v>
      </c>
      <c r="J164" s="53"/>
      <c r="K164" s="52"/>
      <c r="L164" s="2"/>
    </row>
    <row r="165" spans="1:12" ht="18.75" x14ac:dyDescent="0.3">
      <c r="A165" s="31" t="s">
        <v>157</v>
      </c>
      <c r="B165" s="14"/>
      <c r="C165" s="14"/>
      <c r="D165" s="36" t="s">
        <v>209</v>
      </c>
      <c r="E165" s="13"/>
      <c r="F165" s="13">
        <f>1+1</f>
        <v>2</v>
      </c>
      <c r="G165" s="13" t="s">
        <v>31</v>
      </c>
      <c r="H165" s="50">
        <f>2200/F165</f>
        <v>1100</v>
      </c>
      <c r="I165" s="70">
        <f t="shared" si="9"/>
        <v>2200</v>
      </c>
      <c r="J165" s="53" t="s">
        <v>124</v>
      </c>
      <c r="K165" s="52"/>
      <c r="L165" s="2"/>
    </row>
    <row r="166" spans="1:12" ht="18.75" x14ac:dyDescent="0.3">
      <c r="A166" s="31"/>
      <c r="B166" s="14"/>
      <c r="C166" s="14"/>
      <c r="D166" s="36"/>
      <c r="E166" s="13"/>
      <c r="F166" s="13"/>
      <c r="G166" s="13"/>
      <c r="H166" s="50"/>
      <c r="I166" s="57">
        <f>SUM(I157:I165)</f>
        <v>286443.8</v>
      </c>
      <c r="J166" s="53"/>
      <c r="K166" s="52"/>
      <c r="L166" s="2"/>
    </row>
    <row r="167" spans="1:12" ht="18.75" x14ac:dyDescent="0.3">
      <c r="A167" s="73" t="s">
        <v>200</v>
      </c>
      <c r="B167" s="14"/>
      <c r="C167" s="14"/>
      <c r="D167" s="39"/>
      <c r="E167" s="14"/>
      <c r="F167" s="14"/>
      <c r="G167" s="35"/>
      <c r="H167" s="14"/>
      <c r="I167" s="74">
        <f>I24+I26+I27+I28+I29+I39+I40+I41+I42+I43+I44+I46+I47+I48+I49+I50+I51+I53+I54+I55+I57+I59+I60+I61+I62+I64+I65+I66+I67+I70+I71+I72+I73+I76+I77+I81+I82+I83+I84+I89+I90+I91+I93+I94+I95+I97+I98+I103+I104+I105+I106+I131+I132+I133+I134+I135+I139+I157+I158+I159+I160+I161+I162+I163+I164+I165</f>
        <v>3002970.2000000011</v>
      </c>
      <c r="J167" s="14"/>
      <c r="L167" s="2"/>
    </row>
    <row r="168" spans="1:12" ht="15.75" x14ac:dyDescent="0.25">
      <c r="A168" s="45" t="s">
        <v>173</v>
      </c>
      <c r="B168" s="23"/>
      <c r="C168" s="23"/>
      <c r="D168" s="39"/>
      <c r="E168" s="13"/>
      <c r="F168" s="13"/>
      <c r="G168" s="35"/>
      <c r="H168" s="13"/>
      <c r="I168" s="46">
        <f>I36+I78+I99+I111+I119+I125+I141+I145+I151+I155+I166</f>
        <v>3932856.8</v>
      </c>
      <c r="J168" s="14"/>
      <c r="K168" s="2"/>
      <c r="L168" s="2"/>
    </row>
    <row r="169" spans="1:12" ht="99.75" customHeight="1" x14ac:dyDescent="0.25">
      <c r="A169" s="79" t="s">
        <v>107</v>
      </c>
      <c r="B169" s="79"/>
      <c r="C169" s="79"/>
      <c r="D169" s="79"/>
      <c r="E169" s="79"/>
      <c r="F169" s="79"/>
      <c r="G169" s="79"/>
      <c r="H169" s="79"/>
      <c r="I169" s="79"/>
      <c r="J169" s="79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48"/>
      <c r="J172" s="48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</sheetData>
  <mergeCells count="16">
    <mergeCell ref="A169:J169"/>
    <mergeCell ref="A2:J2"/>
    <mergeCell ref="A156:G156"/>
    <mergeCell ref="H156:J156"/>
    <mergeCell ref="I1:J1"/>
    <mergeCell ref="A112:G112"/>
    <mergeCell ref="A126:G126"/>
    <mergeCell ref="A152:G152"/>
    <mergeCell ref="A37:G37"/>
    <mergeCell ref="A15:G15"/>
    <mergeCell ref="A4:G4"/>
    <mergeCell ref="A142:G142"/>
    <mergeCell ref="A79:G79"/>
    <mergeCell ref="A100:G100"/>
    <mergeCell ref="A120:G120"/>
    <mergeCell ref="A146:G146"/>
  </mergeCells>
  <pageMargins left="0.78740157480314965" right="0.70866141732283472" top="0" bottom="0.59055118110236227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2025-01-29T08:14:04Z</cp:lastPrinted>
  <dcterms:created xsi:type="dcterms:W3CDTF">2017-05-29T12:14:13Z</dcterms:created>
  <dcterms:modified xsi:type="dcterms:W3CDTF">2025-03-14T04:39:35Z</dcterms:modified>
</cp:coreProperties>
</file>