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42" i="1" l="1"/>
  <c r="I133" i="1"/>
  <c r="I134" i="1"/>
  <c r="I137" i="1"/>
  <c r="I138" i="1"/>
  <c r="F78" i="1" l="1"/>
  <c r="H78" i="1" s="1"/>
  <c r="F85" i="1"/>
  <c r="H85" i="1" s="1"/>
  <c r="I78" i="1" l="1"/>
  <c r="I85" i="1"/>
  <c r="H51" i="1"/>
  <c r="I51" i="1" s="1"/>
  <c r="H140" i="1"/>
  <c r="H139" i="1"/>
  <c r="F128" i="1"/>
  <c r="H128" i="1" s="1"/>
  <c r="F92" i="1"/>
  <c r="H92" i="1" s="1"/>
  <c r="F108" i="1"/>
  <c r="H108" i="1" s="1"/>
  <c r="I130" i="1" l="1"/>
  <c r="H130" i="1"/>
  <c r="F31" i="1" l="1"/>
  <c r="H29" i="1"/>
  <c r="F30" i="1"/>
  <c r="H28" i="1"/>
  <c r="I28" i="1" s="1"/>
  <c r="F97" i="1"/>
  <c r="H97" i="1" s="1"/>
  <c r="F80" i="1"/>
  <c r="H80" i="1" s="1"/>
  <c r="F105" i="1" l="1"/>
  <c r="H105" i="1" l="1"/>
  <c r="I105" i="1" s="1"/>
  <c r="H31" i="1"/>
  <c r="I31" i="1" s="1"/>
  <c r="H30" i="1"/>
  <c r="F96" i="1"/>
  <c r="H96" i="1" s="1"/>
  <c r="F95" i="1"/>
  <c r="H95" i="1" s="1"/>
  <c r="F7" i="1" l="1"/>
  <c r="H7" i="1" s="1"/>
  <c r="H131" i="1"/>
  <c r="F102" i="1"/>
  <c r="H102" i="1" s="1"/>
  <c r="F71" i="1"/>
  <c r="H71" i="1" s="1"/>
  <c r="F70" i="1"/>
  <c r="H70" i="1" s="1"/>
  <c r="I102" i="1" l="1"/>
  <c r="F72" i="1"/>
  <c r="H72" i="1" s="1"/>
  <c r="F106" i="1"/>
  <c r="H106" i="1" s="1"/>
  <c r="I72" i="1" l="1"/>
  <c r="F54" i="1"/>
  <c r="H54" i="1" s="1"/>
  <c r="F69" i="1"/>
  <c r="H69" i="1" s="1"/>
  <c r="I54" i="1" l="1"/>
  <c r="H49" i="1"/>
  <c r="I49" i="1" s="1"/>
  <c r="H48" i="1"/>
  <c r="I48" i="1" s="1"/>
  <c r="H47" i="1"/>
  <c r="I47" i="1" s="1"/>
  <c r="F46" i="1"/>
  <c r="H46" i="1" s="1"/>
  <c r="F27" i="1"/>
  <c r="H27" i="1" s="1"/>
  <c r="F26" i="1"/>
  <c r="H26" i="1" s="1"/>
  <c r="F50" i="1"/>
  <c r="H50" i="1" s="1"/>
  <c r="H136" i="1"/>
  <c r="H135" i="1"/>
  <c r="F127" i="1"/>
  <c r="H127" i="1" s="1"/>
  <c r="F6" i="1"/>
  <c r="H6" i="1" s="1"/>
  <c r="H57" i="1"/>
  <c r="I57" i="1" s="1"/>
  <c r="F44" i="1"/>
  <c r="H44" i="1" s="1"/>
  <c r="H94" i="1"/>
  <c r="F93" i="1"/>
  <c r="H93" i="1" s="1"/>
  <c r="F79" i="1"/>
  <c r="H79" i="1" s="1"/>
  <c r="I96" i="1"/>
  <c r="F86" i="1"/>
  <c r="F129" i="1"/>
  <c r="H129" i="1" s="1"/>
  <c r="H59" i="1"/>
  <c r="F58" i="1"/>
  <c r="H58" i="1" s="1"/>
  <c r="F43" i="1"/>
  <c r="H43" i="1" s="1"/>
  <c r="F42" i="1"/>
  <c r="H42" i="1" s="1"/>
  <c r="H45" i="1"/>
  <c r="H86" i="1" l="1"/>
  <c r="I86" i="1" s="1"/>
  <c r="I79" i="1"/>
  <c r="I46" i="1"/>
  <c r="I59" i="1"/>
  <c r="I131" i="1"/>
  <c r="I29" i="1" l="1"/>
  <c r="I27" i="1"/>
  <c r="I97" i="1" l="1"/>
  <c r="I30" i="1"/>
  <c r="I136" i="1"/>
  <c r="I135" i="1"/>
  <c r="I95" i="1" l="1"/>
  <c r="F68" i="1"/>
  <c r="H68" i="1" s="1"/>
  <c r="F67" i="1"/>
  <c r="H67" i="1" s="1"/>
  <c r="I94" i="1" l="1"/>
  <c r="I70" i="1"/>
  <c r="I140" i="1"/>
  <c r="I139" i="1"/>
  <c r="I127" i="1"/>
  <c r="F130" i="1"/>
  <c r="F66" i="1"/>
  <c r="H66" i="1" s="1"/>
  <c r="I90" i="1" l="1"/>
  <c r="I43" i="1"/>
  <c r="I26" i="1"/>
  <c r="I39" i="1" s="1"/>
  <c r="I93" i="1"/>
  <c r="I7" i="1"/>
  <c r="I58" i="1"/>
  <c r="I50" i="1"/>
  <c r="I128" i="1"/>
  <c r="I129" i="1"/>
  <c r="I141" i="1" l="1"/>
  <c r="I42" i="1"/>
  <c r="I92" i="1"/>
  <c r="I99" i="1" s="1"/>
  <c r="I6" i="1" l="1"/>
  <c r="I45" i="1"/>
  <c r="I44" i="1"/>
  <c r="I80" i="1"/>
  <c r="I69" i="1"/>
  <c r="I83" i="1" l="1"/>
  <c r="I16" i="1"/>
  <c r="I63" i="1"/>
  <c r="I71" i="1"/>
  <c r="I66" i="1"/>
  <c r="I68" i="1" l="1"/>
  <c r="I67" i="1"/>
  <c r="I108" i="1"/>
  <c r="I106" i="1"/>
  <c r="I76" i="1" l="1"/>
  <c r="I109" i="1"/>
  <c r="I116" i="1"/>
  <c r="I120" i="1" s="1"/>
  <c r="I113" i="1"/>
  <c r="I114" i="1" s="1"/>
  <c r="I143" i="1" l="1"/>
</calcChain>
</file>

<file path=xl/sharedStrings.xml><?xml version="1.0" encoding="utf-8"?>
<sst xmlns="http://schemas.openxmlformats.org/spreadsheetml/2006/main" count="556" uniqueCount="213">
  <si>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</si>
  <si>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</si>
  <si>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</si>
  <si>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</si>
  <si>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</si>
  <si>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</si>
  <si>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</si>
  <si>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</si>
  <si>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</si>
  <si>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</si>
  <si>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</si>
  <si>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</si>
  <si>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</si>
  <si>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</si>
  <si>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</si>
  <si>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</si>
  <si>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</si>
  <si>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</si>
  <si>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</si>
  <si>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</si>
  <si>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</si>
  <si>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</si>
  <si>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</si>
  <si>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</si>
  <si>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</si>
  <si>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</si>
  <si>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</si>
  <si>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</si>
  <si>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</si>
  <si>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</si>
  <si>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</si>
  <si>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</si>
  <si>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</si>
  <si>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</si>
  <si>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</si>
  <si>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</si>
  <si>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</si>
  <si>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</si>
  <si>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</si>
  <si>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</si>
  <si>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</si>
  <si>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</si>
  <si>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</si>
  <si>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</si>
  <si>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</si>
  <si>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</si>
  <si>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</si>
  <si>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</si>
  <si>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</si>
  <si>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</si>
  <si>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</si>
  <si>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</si>
  <si>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</si>
  <si>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</si>
  <si>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</si>
  <si>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</si>
  <si>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</si>
  <si>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</si>
  <si>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</si>
  <si>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</si>
  <si>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</si>
  <si>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</si>
  <si>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</si>
  <si>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</si>
  <si>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</si>
  <si>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</si>
  <si>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</si>
  <si>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</si>
  <si>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</si>
  <si>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</si>
  <si>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</si>
  <si>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</si>
  <si>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</si>
  <si>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</si>
  <si>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</si>
  <si>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</si>
  <si>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</si>
  <si>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</si>
  <si>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</si>
  <si>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</si>
  <si>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</si>
  <si>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</si>
  <si>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</si>
  <si>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</si>
  <si>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</si>
  <si>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</si>
  <si>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</si>
  <si>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</si>
  <si>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</si>
  <si>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</si>
  <si>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</si>
  <si>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</si>
  <si>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</si>
  <si>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</si>
  <si>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</si>
  <si>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</si>
  <si>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</si>
  <si>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</si>
  <si>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</si>
  <si>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</si>
  <si>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</si>
  <si>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</si>
  <si>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</si>
  <si>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</si>
  <si>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</si>
  <si>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</si>
  <si>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</si>
  <si>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</si>
  <si>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</si>
  <si>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</si>
  <si>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</si>
  <si>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</si>
  <si>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</si>
  <si>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</si>
  <si>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</si>
  <si>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</si>
  <si>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</si>
  <si>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</si>
  <si>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</si>
  <si>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</si>
  <si>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</si>
  <si>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</si>
  <si>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</si>
  <si>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</si>
  <si>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</si>
  <si>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</si>
  <si>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</si>
  <si>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</si>
  <si>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</si>
  <si>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</si>
  <si>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</si>
  <si>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</si>
  <si>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</si>
  <si>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</si>
  <si>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</si>
  <si>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</si>
  <si>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</si>
  <si>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</si>
  <si>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</si>
  <si>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</si>
  <si>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</si>
  <si>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</si>
  <si>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</si>
  <si>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ремонт межпанельных швов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</si>
  <si>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</si>
  <si>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</si>
  <si>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</si>
  <si>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</si>
  <si>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смена кранов шаровых диам. 15,20,25,32мм</t>
  </si>
  <si>
    <t>установка решеток на приямки</t>
  </si>
  <si>
    <t>кг</t>
  </si>
  <si>
    <t>провод групповой осветительных сетей в защитной оболочке</t>
  </si>
  <si>
    <t>м</t>
  </si>
  <si>
    <t>благоустройство</t>
  </si>
  <si>
    <t>1,3,4квартал</t>
  </si>
  <si>
    <t>установка хомутов диам трубопроводов до 100мм</t>
  </si>
  <si>
    <t>водоотлив из подвала электрическими насосами</t>
  </si>
  <si>
    <t>врезка в действующие внутренние сети трубопроводов отопления и водоснабжения диам. 15мм</t>
  </si>
  <si>
    <t>смена задвижек диам. 100мм</t>
  </si>
  <si>
    <t>установка фекальных насосов</t>
  </si>
  <si>
    <t>регулировка смывного бачка</t>
  </si>
  <si>
    <t>установка и крепление наличников</t>
  </si>
  <si>
    <t>установка замков на почтовые ящики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</si>
  <si>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</si>
  <si>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</si>
  <si>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</si>
  <si>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врезка в действующие внутренние сети трубопроводов отопления и водоснабжения диам. 25мм</t>
  </si>
  <si>
    <t>1 квартал</t>
  </si>
  <si>
    <t>коврик влаговпитывающий</t>
  </si>
  <si>
    <t>регулировка  дверного доводчика к дверям</t>
  </si>
  <si>
    <t>смена дверных приборов:замки врезные</t>
  </si>
  <si>
    <t>очистка помещений от строительного мусора</t>
  </si>
  <si>
    <t>т</t>
  </si>
  <si>
    <t>посадка цветов в вазоны</t>
  </si>
  <si>
    <t>очистка внутренней поверхности:теплообменного аппарата</t>
  </si>
  <si>
    <t>гидравлическое испытание аппарата работающего под давлением</t>
  </si>
  <si>
    <t>лестница</t>
  </si>
  <si>
    <t>очистка вручную поверхности фасадов от перхловиниловых и масляных красок с земли и лесов</t>
  </si>
  <si>
    <t>контейнерная площадка</t>
  </si>
  <si>
    <t>резка стального профилипрованного листа</t>
  </si>
  <si>
    <t xml:space="preserve">монтаж площадок </t>
  </si>
  <si>
    <t>монтаж кровельного покрытия из профилированного листа</t>
  </si>
  <si>
    <t>смена дверных приборов замки врезные</t>
  </si>
  <si>
    <t>справка о техническом состоянии здания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</si>
  <si>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</si>
  <si>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 ул.Заречная, дом 8, корпус 2  на 2024 г.
</t>
  </si>
  <si>
    <t>регулировка дверей со снятием и установкой стелопакетов</t>
  </si>
  <si>
    <t>замена резиновых уплотнителей</t>
  </si>
  <si>
    <t>смена керамических коврово-мозаичных плиток в полах до 3шт</t>
  </si>
  <si>
    <t>смена керамических коврово-мозаичных плиток в полах до 6шт</t>
  </si>
  <si>
    <t>установка дверного доводчика</t>
  </si>
  <si>
    <t>смена выпусков к умывальникам и мойкам</t>
  </si>
  <si>
    <t>приб</t>
  </si>
  <si>
    <t>укладка металлического накладного профиля</t>
  </si>
  <si>
    <t>окраска масляными составами ранее окрашенных больших металлических поверхностей за 1раз</t>
  </si>
  <si>
    <t>устройство покрытий из плит керамогранитных размером 60х60</t>
  </si>
  <si>
    <t>Снятие дверных полотен</t>
  </si>
  <si>
    <t>установка дверных полотен внутренних</t>
  </si>
  <si>
    <t>установка : в готовые гнезда врехных дверных замков с ручками</t>
  </si>
  <si>
    <t>смена дверных приборов петли</t>
  </si>
  <si>
    <t>разборка покрытий полов из керамогранитной плитки</t>
  </si>
  <si>
    <t>разборка  облицовки стен из керамических глазурованных плиток</t>
  </si>
  <si>
    <t>контактор постоянного тока на конструкции</t>
  </si>
  <si>
    <t>дезинсекция от тараканов</t>
  </si>
  <si>
    <t xml:space="preserve"> установка решеток металлических</t>
  </si>
  <si>
    <t>установка решетчатых конструкций</t>
  </si>
  <si>
    <t>масляная окраска металдических решеток, количество окрасок 2</t>
  </si>
  <si>
    <t>ремонт кровельного покрытия (Медси)</t>
  </si>
  <si>
    <t>устройство бетонных плитных тротуаров</t>
  </si>
  <si>
    <t>лифт</t>
  </si>
  <si>
    <t>устройство покрытий из линолеума насухо из готовых ковров на комнату</t>
  </si>
  <si>
    <t>укладка металлическоо накладного профиля(порога)</t>
  </si>
  <si>
    <t>ремонт и восстановление уплотнения стыков прокладками ПРП в 1 ряд в стенах,оконных, дверных и балконных блоках насухо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</si>
</sst>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2" fontId="1" fillId="0" borderId="0" xfId="0" applyNumberFormat="1" applyFont="1"/>
    <xf numFmtId="164" fontId="1" fillId="0" borderId="0" xfId="0" applyNumberFormat="1" applyFont="1"/>
    <xf numFmtId="2" fontId="10" fillId="0" borderId="1" xfId="0" applyNumberFormat="1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3" borderId="0" xfId="0" applyFont="1" applyFill="1"/>
    <xf numFmtId="2" fontId="1" fillId="3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0"/>
  <sheetViews>
    <sheetView tabSelected="1" topLeftCell="E143" zoomScale="91" zoomScaleNormal="91" workbookViewId="0">
      <selection activeCell="K156" sqref="K156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1" width="10.7109375" style="1" bestFit="1" customWidth="1"/>
    <col min="12" max="12" width="11.85546875" style="1" bestFit="1" customWidth="1"/>
    <col min="13" max="16384" width="8.85546875" style="1"/>
  </cols>
  <sheetData>
    <row r="1" spans="1:12" ht="51.75" customHeight="1" x14ac:dyDescent="0.25">
      <c r="I1" s="76" t="s">
        <v>97</v>
      </c>
      <c r="J1" s="76"/>
    </row>
    <row r="2" spans="1:12" ht="70.5" customHeight="1" x14ac:dyDescent="0.25">
      <c r="A2" s="71" t="s">
        <v>185</v>
      </c>
      <c r="B2" s="72"/>
      <c r="C2" s="72"/>
      <c r="D2" s="72"/>
      <c r="E2" s="72"/>
      <c r="F2" s="72"/>
      <c r="G2" s="72"/>
      <c r="H2" s="72"/>
      <c r="I2" s="72"/>
      <c r="J2" s="72"/>
      <c r="K2" s="2"/>
      <c r="L2" s="2"/>
    </row>
    <row r="3" spans="1:12" ht="75" x14ac:dyDescent="0.25">
      <c r="A3" s="20" t="s">
        <v>82</v>
      </c>
      <c r="B3" s="3"/>
      <c r="C3" s="3"/>
      <c r="D3" s="20" t="s">
        <v>101</v>
      </c>
      <c r="E3" s="20" t="s">
        <v>105</v>
      </c>
      <c r="F3" s="21" t="s">
        <v>103</v>
      </c>
      <c r="G3" s="21" t="s">
        <v>81</v>
      </c>
      <c r="H3" s="21" t="s">
        <v>80</v>
      </c>
      <c r="I3" s="21" t="s">
        <v>102</v>
      </c>
      <c r="J3" s="21" t="s">
        <v>104</v>
      </c>
      <c r="K3" s="2"/>
      <c r="L3" s="2"/>
    </row>
    <row r="4" spans="1:12" ht="18.75" x14ac:dyDescent="0.3">
      <c r="A4" s="77" t="s">
        <v>88</v>
      </c>
      <c r="B4" s="78"/>
      <c r="C4" s="78"/>
      <c r="D4" s="78"/>
      <c r="E4" s="78"/>
      <c r="F4" s="78"/>
      <c r="G4" s="79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125</v>
      </c>
      <c r="E5" s="41" t="s">
        <v>142</v>
      </c>
      <c r="F5" s="41" t="s">
        <v>142</v>
      </c>
      <c r="G5" s="13" t="s">
        <v>114</v>
      </c>
      <c r="H5" s="41" t="s">
        <v>142</v>
      </c>
      <c r="I5" s="41" t="s">
        <v>142</v>
      </c>
      <c r="J5" s="13"/>
      <c r="K5" s="2"/>
      <c r="L5" s="2"/>
    </row>
    <row r="6" spans="1:12" ht="18.75" x14ac:dyDescent="0.3">
      <c r="A6" s="6"/>
      <c r="B6" s="5"/>
      <c r="C6" s="4"/>
      <c r="D6" s="15" t="s">
        <v>121</v>
      </c>
      <c r="E6" s="41"/>
      <c r="F6" s="41">
        <f>32+330</f>
        <v>362</v>
      </c>
      <c r="G6" s="13" t="s">
        <v>114</v>
      </c>
      <c r="H6" s="44">
        <f>(1128+585.4+8046.8+11639.6)/F6</f>
        <v>59.115469613259677</v>
      </c>
      <c r="I6" s="56">
        <f>F6*H6</f>
        <v>21399.800000000003</v>
      </c>
      <c r="J6" s="13" t="s">
        <v>126</v>
      </c>
      <c r="K6" s="2"/>
      <c r="L6" s="2"/>
    </row>
    <row r="7" spans="1:12" ht="18.75" x14ac:dyDescent="0.3">
      <c r="A7" s="6"/>
      <c r="B7" s="5"/>
      <c r="C7" s="4"/>
      <c r="D7" s="15" t="s">
        <v>207</v>
      </c>
      <c r="E7" s="41" t="s">
        <v>142</v>
      </c>
      <c r="F7" s="41">
        <f>635.75</f>
        <v>635.75</v>
      </c>
      <c r="G7" s="13" t="s">
        <v>114</v>
      </c>
      <c r="H7" s="41">
        <f>826475/F7</f>
        <v>1300</v>
      </c>
      <c r="I7" s="56">
        <f>F7*H7</f>
        <v>826475</v>
      </c>
      <c r="J7" s="13" t="s">
        <v>167</v>
      </c>
      <c r="K7" s="2"/>
      <c r="L7" s="2"/>
    </row>
    <row r="8" spans="1:12" ht="35.25" customHeight="1" x14ac:dyDescent="0.3">
      <c r="A8" s="6" t="s">
        <v>1</v>
      </c>
      <c r="B8" s="5"/>
      <c r="C8" s="4"/>
      <c r="D8" s="15" t="s">
        <v>39</v>
      </c>
      <c r="E8" s="41"/>
      <c r="F8" s="41"/>
      <c r="G8" s="13" t="s">
        <v>31</v>
      </c>
      <c r="H8" s="41"/>
      <c r="I8" s="41"/>
      <c r="J8" s="13"/>
      <c r="K8" s="2"/>
      <c r="L8" s="2"/>
    </row>
    <row r="9" spans="1:12" ht="28.5" customHeight="1" x14ac:dyDescent="0.3">
      <c r="A9" s="6" t="s">
        <v>2</v>
      </c>
      <c r="B9" s="5"/>
      <c r="C9" s="4"/>
      <c r="D9" s="15" t="s">
        <v>39</v>
      </c>
      <c r="E9" s="41" t="s">
        <v>142</v>
      </c>
      <c r="F9" s="41" t="s">
        <v>142</v>
      </c>
      <c r="G9" s="13" t="s">
        <v>30</v>
      </c>
      <c r="H9" s="41" t="s">
        <v>142</v>
      </c>
      <c r="I9" s="41" t="s">
        <v>142</v>
      </c>
      <c r="J9" s="5"/>
      <c r="K9" s="2"/>
      <c r="L9" s="2"/>
    </row>
    <row r="10" spans="1:12" ht="18.75" x14ac:dyDescent="0.3">
      <c r="A10" s="7" t="s">
        <v>3</v>
      </c>
      <c r="B10" s="5"/>
      <c r="C10" s="4"/>
      <c r="D10" s="15" t="s">
        <v>38</v>
      </c>
      <c r="E10" s="41" t="s">
        <v>142</v>
      </c>
      <c r="F10" s="41" t="s">
        <v>142</v>
      </c>
      <c r="G10" s="13" t="s">
        <v>30</v>
      </c>
      <c r="H10" s="41" t="s">
        <v>142</v>
      </c>
      <c r="I10" s="41" t="s">
        <v>142</v>
      </c>
      <c r="J10" s="5"/>
      <c r="K10" s="2"/>
      <c r="L10" s="2"/>
    </row>
    <row r="11" spans="1:12" ht="32.25" x14ac:dyDescent="0.3">
      <c r="A11" s="6" t="s">
        <v>4</v>
      </c>
      <c r="B11" s="5"/>
      <c r="C11" s="4"/>
      <c r="D11" s="15" t="s">
        <v>37</v>
      </c>
      <c r="E11" s="41" t="s">
        <v>142</v>
      </c>
      <c r="F11" s="41" t="s">
        <v>142</v>
      </c>
      <c r="G11" s="13" t="s">
        <v>30</v>
      </c>
      <c r="H11" s="41" t="s">
        <v>142</v>
      </c>
      <c r="I11" s="41" t="s">
        <v>142</v>
      </c>
      <c r="J11" s="5"/>
      <c r="K11" s="2"/>
      <c r="L11" s="2"/>
    </row>
    <row r="12" spans="1:12" ht="18.75" x14ac:dyDescent="0.3">
      <c r="A12" s="6" t="s">
        <v>5</v>
      </c>
      <c r="B12" s="5"/>
      <c r="C12" s="4"/>
      <c r="D12" s="4" t="s">
        <v>87</v>
      </c>
      <c r="E12" s="41" t="s">
        <v>142</v>
      </c>
      <c r="F12" s="41" t="s">
        <v>142</v>
      </c>
      <c r="G12" s="13" t="s">
        <v>31</v>
      </c>
      <c r="H12" s="41" t="s">
        <v>142</v>
      </c>
      <c r="I12" s="41" t="s">
        <v>142</v>
      </c>
      <c r="J12" s="13"/>
      <c r="K12" s="2"/>
      <c r="L12" s="2"/>
    </row>
    <row r="13" spans="1:12" ht="37.5" x14ac:dyDescent="0.3">
      <c r="A13" s="6" t="s">
        <v>6</v>
      </c>
      <c r="B13" s="5"/>
      <c r="C13" s="4"/>
      <c r="D13" s="4" t="s">
        <v>36</v>
      </c>
      <c r="E13" s="41" t="s">
        <v>142</v>
      </c>
      <c r="F13" s="41" t="s">
        <v>142</v>
      </c>
      <c r="G13" s="14" t="s">
        <v>31</v>
      </c>
      <c r="H13" s="41" t="s">
        <v>142</v>
      </c>
      <c r="I13" s="41" t="s">
        <v>142</v>
      </c>
      <c r="J13" s="5"/>
      <c r="K13" s="2"/>
      <c r="L13" s="2"/>
    </row>
    <row r="14" spans="1:12" ht="32.25" x14ac:dyDescent="0.3">
      <c r="A14" s="6" t="s">
        <v>63</v>
      </c>
      <c r="B14" s="5"/>
      <c r="C14" s="4"/>
      <c r="D14" s="15" t="s">
        <v>52</v>
      </c>
      <c r="E14" s="41" t="s">
        <v>142</v>
      </c>
      <c r="F14" s="41" t="s">
        <v>142</v>
      </c>
      <c r="G14" s="13" t="s">
        <v>30</v>
      </c>
      <c r="H14" s="41" t="s">
        <v>142</v>
      </c>
      <c r="I14" s="41" t="s">
        <v>142</v>
      </c>
      <c r="J14" s="5"/>
      <c r="L14" s="2"/>
    </row>
    <row r="15" spans="1:12" ht="27" customHeight="1" x14ac:dyDescent="0.3">
      <c r="A15" s="6" t="s">
        <v>7</v>
      </c>
      <c r="B15" s="5"/>
      <c r="C15" s="4"/>
      <c r="D15" s="15" t="s">
        <v>34</v>
      </c>
      <c r="E15" s="41" t="s">
        <v>142</v>
      </c>
      <c r="F15" s="41" t="s">
        <v>142</v>
      </c>
      <c r="G15" s="13" t="s">
        <v>30</v>
      </c>
      <c r="H15" s="41" t="s">
        <v>142</v>
      </c>
      <c r="I15" s="41" t="s">
        <v>142</v>
      </c>
      <c r="J15" s="5"/>
      <c r="K15" s="2"/>
      <c r="L15" s="2"/>
    </row>
    <row r="16" spans="1:12" ht="27" customHeight="1" x14ac:dyDescent="0.3">
      <c r="A16" s="28"/>
      <c r="B16" s="22"/>
      <c r="C16" s="22"/>
      <c r="D16" s="30"/>
      <c r="E16" s="45"/>
      <c r="F16" s="45"/>
      <c r="G16" s="31"/>
      <c r="H16" s="41"/>
      <c r="I16" s="41">
        <f>SUM(I6:I15)</f>
        <v>847874.8</v>
      </c>
      <c r="J16" s="5"/>
      <c r="K16" s="2"/>
      <c r="L16" s="2"/>
    </row>
    <row r="17" spans="1:12" ht="18.75" x14ac:dyDescent="0.3">
      <c r="A17" s="77" t="s">
        <v>56</v>
      </c>
      <c r="B17" s="78"/>
      <c r="C17" s="78"/>
      <c r="D17" s="78"/>
      <c r="E17" s="78"/>
      <c r="F17" s="78"/>
      <c r="G17" s="79"/>
      <c r="H17" s="14"/>
      <c r="I17" s="5"/>
      <c r="J17" s="5"/>
      <c r="L17" s="2"/>
    </row>
    <row r="18" spans="1:12" ht="18.75" x14ac:dyDescent="0.3">
      <c r="A18" s="6" t="s">
        <v>19</v>
      </c>
      <c r="B18" s="5"/>
      <c r="C18" s="4"/>
      <c r="D18" s="4" t="s">
        <v>96</v>
      </c>
      <c r="E18" s="41" t="s">
        <v>142</v>
      </c>
      <c r="F18" s="41" t="s">
        <v>142</v>
      </c>
      <c r="G18" s="14" t="s">
        <v>54</v>
      </c>
      <c r="H18" s="41" t="s">
        <v>142</v>
      </c>
      <c r="I18" s="41" t="s">
        <v>142</v>
      </c>
      <c r="J18" s="5"/>
      <c r="L18" s="2"/>
    </row>
    <row r="19" spans="1:12" ht="18.75" x14ac:dyDescent="0.3">
      <c r="A19" s="6" t="s">
        <v>13</v>
      </c>
      <c r="B19" s="5"/>
      <c r="C19" s="4"/>
      <c r="D19" s="4" t="s">
        <v>42</v>
      </c>
      <c r="E19" s="41" t="s">
        <v>142</v>
      </c>
      <c r="F19" s="41" t="s">
        <v>142</v>
      </c>
      <c r="G19" s="14" t="s">
        <v>53</v>
      </c>
      <c r="H19" s="41" t="s">
        <v>142</v>
      </c>
      <c r="I19" s="41" t="s">
        <v>142</v>
      </c>
      <c r="J19" s="5"/>
      <c r="L19" s="2"/>
    </row>
    <row r="20" spans="1:12" ht="18.75" x14ac:dyDescent="0.3">
      <c r="A20" s="6" t="s">
        <v>9</v>
      </c>
      <c r="B20" s="5"/>
      <c r="C20" s="4"/>
      <c r="D20" s="4" t="s">
        <v>35</v>
      </c>
      <c r="E20" s="41" t="s">
        <v>142</v>
      </c>
      <c r="F20" s="41" t="s">
        <v>142</v>
      </c>
      <c r="G20" s="14" t="s">
        <v>53</v>
      </c>
      <c r="H20" s="41" t="s">
        <v>142</v>
      </c>
      <c r="I20" s="41" t="s">
        <v>142</v>
      </c>
      <c r="J20" s="5"/>
      <c r="K20" s="2"/>
      <c r="L20" s="2"/>
    </row>
    <row r="21" spans="1:12" ht="18.75" x14ac:dyDescent="0.3">
      <c r="A21" s="6" t="s">
        <v>10</v>
      </c>
      <c r="B21" s="5"/>
      <c r="C21" s="4"/>
      <c r="D21" s="4" t="s">
        <v>33</v>
      </c>
      <c r="E21" s="41" t="s">
        <v>142</v>
      </c>
      <c r="F21" s="41" t="s">
        <v>142</v>
      </c>
      <c r="G21" s="14" t="s">
        <v>53</v>
      </c>
      <c r="H21" s="41" t="s">
        <v>142</v>
      </c>
      <c r="I21" s="41" t="s">
        <v>142</v>
      </c>
      <c r="J21" s="5"/>
      <c r="K21" s="2"/>
      <c r="L21" s="2"/>
    </row>
    <row r="22" spans="1:12" ht="18.75" x14ac:dyDescent="0.3">
      <c r="A22" s="6" t="s">
        <v>11</v>
      </c>
      <c r="B22" s="5"/>
      <c r="C22" s="4"/>
      <c r="D22" s="4" t="s">
        <v>40</v>
      </c>
      <c r="E22" s="41" t="s">
        <v>142</v>
      </c>
      <c r="F22" s="41" t="s">
        <v>142</v>
      </c>
      <c r="G22" s="14" t="s">
        <v>53</v>
      </c>
      <c r="H22" s="41" t="s">
        <v>142</v>
      </c>
      <c r="I22" s="41" t="s">
        <v>142</v>
      </c>
      <c r="J22" s="5"/>
      <c r="K22" s="2"/>
      <c r="L22" s="2"/>
    </row>
    <row r="23" spans="1:12" ht="18.75" x14ac:dyDescent="0.3">
      <c r="A23" s="6"/>
      <c r="B23" s="5"/>
      <c r="C23" s="4"/>
      <c r="D23" s="4" t="s">
        <v>149</v>
      </c>
      <c r="E23" s="41"/>
      <c r="F23" s="41"/>
      <c r="G23" s="14" t="s">
        <v>150</v>
      </c>
      <c r="H23" s="41"/>
      <c r="I23" s="41"/>
      <c r="J23" s="13"/>
      <c r="K23" s="2"/>
      <c r="L23" s="2"/>
    </row>
    <row r="24" spans="1:12" ht="18.75" x14ac:dyDescent="0.3">
      <c r="A24" s="6" t="s">
        <v>8</v>
      </c>
      <c r="B24" s="5"/>
      <c r="C24" s="4"/>
      <c r="D24" s="4" t="s">
        <v>32</v>
      </c>
      <c r="E24" s="41" t="s">
        <v>142</v>
      </c>
      <c r="F24" s="41" t="s">
        <v>142</v>
      </c>
      <c r="G24" s="13" t="s">
        <v>30</v>
      </c>
      <c r="H24" s="41" t="s">
        <v>142</v>
      </c>
      <c r="I24" s="41" t="s">
        <v>142</v>
      </c>
      <c r="J24" s="5"/>
      <c r="K24" s="2"/>
      <c r="L24" s="2"/>
    </row>
    <row r="25" spans="1:12" ht="24.75" customHeight="1" x14ac:dyDescent="0.3">
      <c r="A25" s="6" t="s">
        <v>12</v>
      </c>
      <c r="B25" s="5"/>
      <c r="C25" s="4"/>
      <c r="D25" s="15" t="s">
        <v>41</v>
      </c>
      <c r="E25" s="41" t="s">
        <v>142</v>
      </c>
      <c r="F25" s="41" t="s">
        <v>142</v>
      </c>
      <c r="G25" s="14" t="s">
        <v>53</v>
      </c>
      <c r="H25" s="41" t="s">
        <v>142</v>
      </c>
      <c r="I25" s="41" t="s">
        <v>142</v>
      </c>
      <c r="J25" s="5"/>
      <c r="K25" s="2"/>
      <c r="L25" s="2"/>
    </row>
    <row r="26" spans="1:12" ht="39.75" customHeight="1" x14ac:dyDescent="0.3">
      <c r="A26" s="6"/>
      <c r="B26" s="5"/>
      <c r="C26" s="4"/>
      <c r="D26" s="15" t="s">
        <v>200</v>
      </c>
      <c r="E26" s="41" t="s">
        <v>142</v>
      </c>
      <c r="F26" s="41">
        <f>2.16</f>
        <v>2.16</v>
      </c>
      <c r="G26" s="14" t="s">
        <v>114</v>
      </c>
      <c r="H26" s="44">
        <f>1653.2/F26</f>
        <v>765.37037037037032</v>
      </c>
      <c r="I26" s="56">
        <f t="shared" ref="I26:I31" si="0">F26*H26</f>
        <v>1653.2</v>
      </c>
      <c r="J26" s="13" t="s">
        <v>124</v>
      </c>
      <c r="K26" s="2"/>
      <c r="L26" s="2"/>
    </row>
    <row r="27" spans="1:12" ht="39.75" customHeight="1" x14ac:dyDescent="0.3">
      <c r="A27" s="6"/>
      <c r="B27" s="5"/>
      <c r="C27" s="4"/>
      <c r="D27" s="15" t="s">
        <v>195</v>
      </c>
      <c r="E27" s="41"/>
      <c r="F27" s="41">
        <f>2.16</f>
        <v>2.16</v>
      </c>
      <c r="G27" s="14" t="s">
        <v>114</v>
      </c>
      <c r="H27" s="44">
        <f>8982.2/F27</f>
        <v>4158.4259259259261</v>
      </c>
      <c r="I27" s="56">
        <f t="shared" si="0"/>
        <v>8982.2000000000007</v>
      </c>
      <c r="J27" s="13" t="s">
        <v>118</v>
      </c>
      <c r="K27" s="2"/>
      <c r="L27" s="2"/>
    </row>
    <row r="28" spans="1:12" ht="39.75" customHeight="1" x14ac:dyDescent="0.3">
      <c r="A28" s="6"/>
      <c r="B28" s="5"/>
      <c r="C28" s="4"/>
      <c r="D28" s="15" t="s">
        <v>208</v>
      </c>
      <c r="E28" s="41"/>
      <c r="F28" s="41">
        <v>0.54</v>
      </c>
      <c r="G28" s="14" t="s">
        <v>114</v>
      </c>
      <c r="H28" s="44">
        <f>278/F28</f>
        <v>514.81481481481478</v>
      </c>
      <c r="I28" s="56">
        <f t="shared" si="0"/>
        <v>278</v>
      </c>
      <c r="J28" s="13" t="s">
        <v>118</v>
      </c>
      <c r="K28" s="2"/>
      <c r="L28" s="2"/>
    </row>
    <row r="29" spans="1:12" ht="39.75" customHeight="1" x14ac:dyDescent="0.3">
      <c r="A29" s="6"/>
      <c r="B29" s="5"/>
      <c r="C29" s="4"/>
      <c r="D29" s="15" t="s">
        <v>204</v>
      </c>
      <c r="E29" s="41"/>
      <c r="F29" s="41">
        <v>25</v>
      </c>
      <c r="G29" s="14" t="s">
        <v>172</v>
      </c>
      <c r="H29" s="44">
        <f>5935/F29</f>
        <v>237.4</v>
      </c>
      <c r="I29" s="66">
        <f t="shared" si="0"/>
        <v>5935</v>
      </c>
      <c r="J29" s="13" t="s">
        <v>118</v>
      </c>
      <c r="K29" s="2"/>
      <c r="L29" s="2"/>
    </row>
    <row r="30" spans="1:12" ht="39.75" customHeight="1" x14ac:dyDescent="0.3">
      <c r="A30" s="6"/>
      <c r="B30" s="5"/>
      <c r="C30" s="4"/>
      <c r="D30" s="15" t="s">
        <v>205</v>
      </c>
      <c r="E30" s="41"/>
      <c r="F30" s="41">
        <f>25</f>
        <v>25</v>
      </c>
      <c r="G30" s="14" t="s">
        <v>172</v>
      </c>
      <c r="H30" s="44">
        <f>10066.2/F30</f>
        <v>402.64800000000002</v>
      </c>
      <c r="I30" s="66">
        <f t="shared" si="0"/>
        <v>10066.200000000001</v>
      </c>
      <c r="J30" s="13" t="s">
        <v>118</v>
      </c>
      <c r="K30" s="2"/>
      <c r="L30" s="2"/>
    </row>
    <row r="31" spans="1:12" ht="36.75" customHeight="1" x14ac:dyDescent="0.3">
      <c r="A31" s="6"/>
      <c r="B31" s="5"/>
      <c r="C31" s="4"/>
      <c r="D31" s="15" t="s">
        <v>206</v>
      </c>
      <c r="E31" s="41" t="s">
        <v>142</v>
      </c>
      <c r="F31" s="41">
        <f>2</f>
        <v>2</v>
      </c>
      <c r="G31" s="14" t="s">
        <v>114</v>
      </c>
      <c r="H31" s="41">
        <f>1753.4/F31</f>
        <v>876.7</v>
      </c>
      <c r="I31" s="66">
        <f t="shared" si="0"/>
        <v>1753.4</v>
      </c>
      <c r="J31" s="13" t="s">
        <v>118</v>
      </c>
      <c r="K31" s="2"/>
      <c r="L31" s="2"/>
    </row>
    <row r="32" spans="1:12" ht="18.75" x14ac:dyDescent="0.3">
      <c r="A32" s="6" t="s">
        <v>55</v>
      </c>
      <c r="B32" s="5"/>
      <c r="C32" s="4"/>
      <c r="D32" s="15" t="s">
        <v>143</v>
      </c>
      <c r="E32" s="41" t="s">
        <v>142</v>
      </c>
      <c r="F32" s="41" t="s">
        <v>142</v>
      </c>
      <c r="G32" s="14" t="s">
        <v>30</v>
      </c>
      <c r="H32" s="41" t="s">
        <v>142</v>
      </c>
      <c r="I32" s="41" t="s">
        <v>142</v>
      </c>
      <c r="J32" s="13"/>
      <c r="L32" s="2"/>
    </row>
    <row r="33" spans="1:12" ht="32.25" x14ac:dyDescent="0.3">
      <c r="A33" s="6" t="s">
        <v>57</v>
      </c>
      <c r="B33" s="5"/>
      <c r="C33" s="4"/>
      <c r="D33" s="15" t="s">
        <v>95</v>
      </c>
      <c r="E33" s="41" t="s">
        <v>142</v>
      </c>
      <c r="F33" s="41" t="s">
        <v>142</v>
      </c>
      <c r="G33" s="14" t="s">
        <v>53</v>
      </c>
      <c r="H33" s="41" t="s">
        <v>142</v>
      </c>
      <c r="I33" s="41" t="s">
        <v>142</v>
      </c>
      <c r="J33" s="5"/>
      <c r="L33" s="2"/>
    </row>
    <row r="34" spans="1:12" ht="32.25" x14ac:dyDescent="0.3">
      <c r="A34" s="6" t="s">
        <v>14</v>
      </c>
      <c r="B34" s="5"/>
      <c r="C34" s="4"/>
      <c r="D34" s="15" t="s">
        <v>94</v>
      </c>
      <c r="E34" s="41" t="s">
        <v>142</v>
      </c>
      <c r="F34" s="41" t="s">
        <v>142</v>
      </c>
      <c r="G34" s="14" t="s">
        <v>54</v>
      </c>
      <c r="H34" s="41" t="s">
        <v>142</v>
      </c>
      <c r="I34" s="41" t="s">
        <v>142</v>
      </c>
      <c r="J34" s="5"/>
      <c r="L34" s="2"/>
    </row>
    <row r="35" spans="1:12" ht="18.75" x14ac:dyDescent="0.3">
      <c r="A35" s="6" t="s">
        <v>15</v>
      </c>
      <c r="B35" s="5"/>
      <c r="C35" s="4"/>
      <c r="D35" s="4" t="s">
        <v>43</v>
      </c>
      <c r="E35" s="41" t="s">
        <v>142</v>
      </c>
      <c r="F35" s="41" t="s">
        <v>142</v>
      </c>
      <c r="G35" s="14" t="s">
        <v>54</v>
      </c>
      <c r="H35" s="41" t="s">
        <v>142</v>
      </c>
      <c r="I35" s="41" t="s">
        <v>142</v>
      </c>
      <c r="J35" s="5"/>
      <c r="L35" s="2"/>
    </row>
    <row r="36" spans="1:12" ht="18.75" x14ac:dyDescent="0.3">
      <c r="A36" s="6" t="s">
        <v>16</v>
      </c>
      <c r="B36" s="5"/>
      <c r="C36" s="4"/>
      <c r="D36" s="4" t="s">
        <v>44</v>
      </c>
      <c r="E36" s="41" t="s">
        <v>142</v>
      </c>
      <c r="F36" s="41" t="s">
        <v>142</v>
      </c>
      <c r="G36" s="14" t="s">
        <v>53</v>
      </c>
      <c r="H36" s="41" t="s">
        <v>142</v>
      </c>
      <c r="I36" s="41" t="s">
        <v>142</v>
      </c>
      <c r="J36" s="5"/>
      <c r="L36" s="2"/>
    </row>
    <row r="37" spans="1:12" ht="18.75" x14ac:dyDescent="0.3">
      <c r="A37" s="6" t="s">
        <v>17</v>
      </c>
      <c r="B37" s="5"/>
      <c r="C37" s="4"/>
      <c r="D37" s="4" t="s">
        <v>45</v>
      </c>
      <c r="E37" s="41" t="s">
        <v>142</v>
      </c>
      <c r="F37" s="41" t="s">
        <v>142</v>
      </c>
      <c r="G37" s="13" t="s">
        <v>30</v>
      </c>
      <c r="H37" s="41" t="s">
        <v>142</v>
      </c>
      <c r="I37" s="41" t="s">
        <v>142</v>
      </c>
      <c r="J37" s="5"/>
      <c r="L37" s="2"/>
    </row>
    <row r="38" spans="1:12" ht="18.75" x14ac:dyDescent="0.3">
      <c r="A38" s="6" t="s">
        <v>18</v>
      </c>
      <c r="B38" s="5"/>
      <c r="C38" s="4"/>
      <c r="D38" s="4" t="s">
        <v>46</v>
      </c>
      <c r="E38" s="41" t="s">
        <v>142</v>
      </c>
      <c r="F38" s="41" t="s">
        <v>142</v>
      </c>
      <c r="G38" s="14" t="s">
        <v>54</v>
      </c>
      <c r="H38" s="41" t="s">
        <v>142</v>
      </c>
      <c r="I38" s="41" t="s">
        <v>142</v>
      </c>
      <c r="J38" s="5"/>
      <c r="L38" s="2"/>
    </row>
    <row r="39" spans="1:12" ht="18.75" x14ac:dyDescent="0.3">
      <c r="A39" s="28"/>
      <c r="B39" s="22"/>
      <c r="C39" s="22"/>
      <c r="D39" s="22"/>
      <c r="E39" s="45"/>
      <c r="F39" s="45"/>
      <c r="G39" s="12"/>
      <c r="H39" s="41"/>
      <c r="I39" s="41">
        <f>SUM(I26:I38)</f>
        <v>28668.000000000004</v>
      </c>
      <c r="J39" s="5"/>
      <c r="L39" s="2"/>
    </row>
    <row r="40" spans="1:12" ht="24" customHeight="1" x14ac:dyDescent="0.3">
      <c r="A40" s="77" t="s">
        <v>86</v>
      </c>
      <c r="B40" s="78"/>
      <c r="C40" s="78"/>
      <c r="D40" s="78"/>
      <c r="E40" s="78"/>
      <c r="F40" s="78"/>
      <c r="G40" s="79"/>
      <c r="H40" s="14"/>
      <c r="I40" s="5"/>
      <c r="J40" s="5"/>
      <c r="L40" s="2"/>
    </row>
    <row r="41" spans="1:12" ht="32.25" customHeight="1" x14ac:dyDescent="0.3">
      <c r="A41" s="6" t="s">
        <v>49</v>
      </c>
      <c r="B41" s="5"/>
      <c r="C41" s="4"/>
      <c r="D41" s="15" t="s">
        <v>161</v>
      </c>
      <c r="E41" s="32"/>
      <c r="F41" s="13"/>
      <c r="G41" s="38" t="s">
        <v>30</v>
      </c>
      <c r="H41" s="13"/>
      <c r="I41" s="33"/>
      <c r="J41" s="13"/>
      <c r="L41" s="2"/>
    </row>
    <row r="42" spans="1:12" ht="32.25" customHeight="1" x14ac:dyDescent="0.3">
      <c r="A42" s="6"/>
      <c r="B42" s="5"/>
      <c r="C42" s="4"/>
      <c r="D42" s="15" t="s">
        <v>186</v>
      </c>
      <c r="E42" s="41"/>
      <c r="F42" s="41">
        <f>18</f>
        <v>18</v>
      </c>
      <c r="G42" s="13" t="s">
        <v>31</v>
      </c>
      <c r="H42" s="41">
        <f>39600/F42</f>
        <v>2200</v>
      </c>
      <c r="I42" s="56">
        <f>F42*H42</f>
        <v>39600</v>
      </c>
      <c r="J42" s="13" t="s">
        <v>118</v>
      </c>
      <c r="L42" s="2"/>
    </row>
    <row r="43" spans="1:12" ht="32.25" customHeight="1" x14ac:dyDescent="0.3">
      <c r="A43" s="6"/>
      <c r="B43" s="5"/>
      <c r="C43" s="4"/>
      <c r="D43" s="15" t="s">
        <v>187</v>
      </c>
      <c r="E43" s="41"/>
      <c r="F43" s="41">
        <f>4</f>
        <v>4</v>
      </c>
      <c r="G43" s="13" t="s">
        <v>31</v>
      </c>
      <c r="H43" s="41">
        <f>9200/F43</f>
        <v>2300</v>
      </c>
      <c r="I43" s="56">
        <f>F43*H43</f>
        <v>9200</v>
      </c>
      <c r="J43" s="13" t="s">
        <v>167</v>
      </c>
      <c r="L43" s="2"/>
    </row>
    <row r="44" spans="1:12" ht="32.25" customHeight="1" x14ac:dyDescent="0.3">
      <c r="A44" s="6"/>
      <c r="B44" s="5"/>
      <c r="C44" s="4"/>
      <c r="D44" s="15" t="s">
        <v>190</v>
      </c>
      <c r="E44" s="32"/>
      <c r="F44" s="31">
        <f>1+3</f>
        <v>4</v>
      </c>
      <c r="G44" s="13" t="s">
        <v>31</v>
      </c>
      <c r="H44" s="31">
        <f>(3736+18300)/F44</f>
        <v>5509</v>
      </c>
      <c r="I44" s="57">
        <f t="shared" ref="I44:I45" si="1">F44*H44</f>
        <v>22036</v>
      </c>
      <c r="J44" s="13" t="s">
        <v>122</v>
      </c>
      <c r="L44" s="2"/>
    </row>
    <row r="45" spans="1:12" ht="32.25" customHeight="1" x14ac:dyDescent="0.3">
      <c r="A45" s="6"/>
      <c r="B45" s="5"/>
      <c r="C45" s="4"/>
      <c r="D45" s="15" t="s">
        <v>169</v>
      </c>
      <c r="E45" s="32"/>
      <c r="F45" s="31">
        <v>5</v>
      </c>
      <c r="G45" s="13" t="s">
        <v>31</v>
      </c>
      <c r="H45" s="31">
        <f>3300/F45</f>
        <v>660</v>
      </c>
      <c r="I45" s="57">
        <f t="shared" si="1"/>
        <v>3300</v>
      </c>
      <c r="J45" s="13" t="s">
        <v>122</v>
      </c>
      <c r="L45" s="2"/>
    </row>
    <row r="46" spans="1:12" ht="32.25" customHeight="1" x14ac:dyDescent="0.3">
      <c r="A46" s="6"/>
      <c r="B46" s="5"/>
      <c r="C46" s="4"/>
      <c r="D46" s="15" t="s">
        <v>196</v>
      </c>
      <c r="E46" s="32"/>
      <c r="F46" s="31">
        <f>1.2</f>
        <v>1.2</v>
      </c>
      <c r="G46" s="13" t="s">
        <v>114</v>
      </c>
      <c r="H46" s="31">
        <f>394.8/F46</f>
        <v>329</v>
      </c>
      <c r="I46" s="67">
        <f t="shared" ref="I46:I51" si="2">F46*H46</f>
        <v>394.8</v>
      </c>
      <c r="J46" s="13" t="s">
        <v>124</v>
      </c>
      <c r="L46" s="2"/>
    </row>
    <row r="47" spans="1:12" ht="32.25" customHeight="1" x14ac:dyDescent="0.3">
      <c r="A47" s="6"/>
      <c r="B47" s="5"/>
      <c r="C47" s="4"/>
      <c r="D47" s="15" t="s">
        <v>197</v>
      </c>
      <c r="E47" s="32"/>
      <c r="F47" s="31">
        <v>1</v>
      </c>
      <c r="G47" s="13" t="s">
        <v>31</v>
      </c>
      <c r="H47" s="31">
        <f>5682.8/F47</f>
        <v>5682.8</v>
      </c>
      <c r="I47" s="67">
        <f t="shared" si="2"/>
        <v>5682.8</v>
      </c>
      <c r="J47" s="13" t="s">
        <v>124</v>
      </c>
      <c r="L47" s="2"/>
    </row>
    <row r="48" spans="1:12" ht="32.25" customHeight="1" x14ac:dyDescent="0.3">
      <c r="A48" s="6"/>
      <c r="B48" s="5"/>
      <c r="C48" s="4"/>
      <c r="D48" s="15" t="s">
        <v>198</v>
      </c>
      <c r="E48" s="32"/>
      <c r="F48" s="31">
        <v>1</v>
      </c>
      <c r="G48" s="13" t="s">
        <v>31</v>
      </c>
      <c r="H48" s="31">
        <f>2715.6/F48</f>
        <v>2715.6</v>
      </c>
      <c r="I48" s="68">
        <f t="shared" si="2"/>
        <v>2715.6</v>
      </c>
      <c r="J48" s="13" t="s">
        <v>124</v>
      </c>
      <c r="L48" s="2"/>
    </row>
    <row r="49" spans="1:12" ht="32.25" customHeight="1" x14ac:dyDescent="0.3">
      <c r="A49" s="6"/>
      <c r="B49" s="5"/>
      <c r="C49" s="4"/>
      <c r="D49" s="15" t="s">
        <v>199</v>
      </c>
      <c r="E49" s="32"/>
      <c r="F49" s="31">
        <v>1</v>
      </c>
      <c r="G49" s="13" t="s">
        <v>31</v>
      </c>
      <c r="H49" s="31">
        <f>1028/F49</f>
        <v>1028</v>
      </c>
      <c r="I49" s="68">
        <f t="shared" si="2"/>
        <v>1028</v>
      </c>
      <c r="J49" s="13" t="s">
        <v>124</v>
      </c>
      <c r="L49" s="2"/>
    </row>
    <row r="50" spans="1:12" ht="32.25" customHeight="1" x14ac:dyDescent="0.3">
      <c r="A50" s="6"/>
      <c r="B50" s="5"/>
      <c r="C50" s="4"/>
      <c r="D50" s="15" t="s">
        <v>170</v>
      </c>
      <c r="E50" s="41"/>
      <c r="F50" s="41">
        <f>1+14+1</f>
        <v>16</v>
      </c>
      <c r="G50" s="13" t="s">
        <v>31</v>
      </c>
      <c r="H50" s="44">
        <f>(2765+12396.4+986)/F50</f>
        <v>1009.2125</v>
      </c>
      <c r="I50" s="56">
        <f t="shared" si="2"/>
        <v>16147.4</v>
      </c>
      <c r="J50" s="13" t="s">
        <v>124</v>
      </c>
      <c r="L50" s="2"/>
    </row>
    <row r="51" spans="1:12" ht="54" customHeight="1" x14ac:dyDescent="0.3">
      <c r="A51" s="6"/>
      <c r="B51" s="5"/>
      <c r="C51" s="4"/>
      <c r="D51" s="15" t="s">
        <v>212</v>
      </c>
      <c r="E51" s="41"/>
      <c r="F51" s="41">
        <v>5</v>
      </c>
      <c r="G51" s="13" t="s">
        <v>152</v>
      </c>
      <c r="H51" s="44">
        <f>1355.8/F51</f>
        <v>271.15999999999997</v>
      </c>
      <c r="I51" s="56">
        <f t="shared" si="2"/>
        <v>1355.7999999999997</v>
      </c>
      <c r="J51" s="13" t="s">
        <v>122</v>
      </c>
      <c r="L51" s="2"/>
    </row>
    <row r="52" spans="1:12" ht="32.25" x14ac:dyDescent="0.3">
      <c r="A52" s="6" t="s">
        <v>50</v>
      </c>
      <c r="B52" s="5"/>
      <c r="C52" s="4"/>
      <c r="D52" s="15" t="s">
        <v>100</v>
      </c>
      <c r="E52" s="41" t="s">
        <v>142</v>
      </c>
      <c r="F52" s="41" t="s">
        <v>142</v>
      </c>
      <c r="G52" s="13" t="s">
        <v>54</v>
      </c>
      <c r="H52" s="41" t="s">
        <v>142</v>
      </c>
      <c r="I52" s="41" t="s">
        <v>142</v>
      </c>
      <c r="J52" s="13"/>
      <c r="L52" s="2"/>
    </row>
    <row r="53" spans="1:12" ht="32.25" x14ac:dyDescent="0.3">
      <c r="A53" s="6" t="s">
        <v>59</v>
      </c>
      <c r="B53" s="8"/>
      <c r="C53" s="4"/>
      <c r="D53" s="15" t="s">
        <v>47</v>
      </c>
      <c r="E53" s="41"/>
      <c r="F53" s="41"/>
      <c r="G53" s="14" t="s">
        <v>139</v>
      </c>
      <c r="H53" s="41"/>
      <c r="I53" s="41"/>
      <c r="J53" s="13"/>
      <c r="L53" s="2"/>
    </row>
    <row r="54" spans="1:12" ht="32.25" x14ac:dyDescent="0.3">
      <c r="A54" s="6"/>
      <c r="B54" s="8"/>
      <c r="C54" s="4"/>
      <c r="D54" s="15" t="s">
        <v>201</v>
      </c>
      <c r="E54" s="41"/>
      <c r="F54" s="41">
        <f>8.28</f>
        <v>8.2799999999999994</v>
      </c>
      <c r="G54" s="14" t="s">
        <v>114</v>
      </c>
      <c r="H54" s="44">
        <f>5697.8/F54</f>
        <v>688.14009661835757</v>
      </c>
      <c r="I54" s="69">
        <f>F54*H54</f>
        <v>5697.8</v>
      </c>
      <c r="J54" s="13" t="s">
        <v>124</v>
      </c>
      <c r="L54" s="2"/>
    </row>
    <row r="55" spans="1:12" ht="18.75" x14ac:dyDescent="0.3">
      <c r="A55" s="6" t="s">
        <v>61</v>
      </c>
      <c r="B55" s="5"/>
      <c r="C55" s="4"/>
      <c r="D55" s="15" t="s">
        <v>51</v>
      </c>
      <c r="E55" s="41" t="s">
        <v>142</v>
      </c>
      <c r="F55" s="41" t="s">
        <v>142</v>
      </c>
      <c r="G55" s="14" t="s">
        <v>53</v>
      </c>
      <c r="H55" s="41" t="s">
        <v>142</v>
      </c>
      <c r="I55" s="41" t="s">
        <v>142</v>
      </c>
      <c r="J55" s="5"/>
      <c r="L55" s="2"/>
    </row>
    <row r="56" spans="1:12" ht="32.25" x14ac:dyDescent="0.3">
      <c r="A56" s="6" t="s">
        <v>62</v>
      </c>
      <c r="B56" s="5"/>
      <c r="C56" s="4"/>
      <c r="D56" s="15" t="s">
        <v>64</v>
      </c>
      <c r="E56" s="41" t="s">
        <v>142</v>
      </c>
      <c r="F56" s="41" t="s">
        <v>142</v>
      </c>
      <c r="G56" s="13" t="s">
        <v>30</v>
      </c>
      <c r="H56" s="41" t="s">
        <v>142</v>
      </c>
      <c r="I56" s="41" t="s">
        <v>142</v>
      </c>
      <c r="J56" s="5"/>
      <c r="L56" s="2"/>
    </row>
    <row r="57" spans="1:12" ht="18.75" x14ac:dyDescent="0.3">
      <c r="A57" s="6" t="s">
        <v>58</v>
      </c>
      <c r="B57" s="8"/>
      <c r="C57" s="4"/>
      <c r="D57" s="4" t="s">
        <v>193</v>
      </c>
      <c r="E57" s="41" t="s">
        <v>142</v>
      </c>
      <c r="F57" s="41">
        <v>8</v>
      </c>
      <c r="G57" s="14" t="s">
        <v>152</v>
      </c>
      <c r="H57" s="41">
        <f>2000.6/F57</f>
        <v>250.07499999999999</v>
      </c>
      <c r="I57" s="66">
        <f>F57*H57</f>
        <v>2000.6</v>
      </c>
      <c r="J57" s="5" t="s">
        <v>167</v>
      </c>
      <c r="L57" s="2"/>
    </row>
    <row r="58" spans="1:12" ht="32.25" x14ac:dyDescent="0.3">
      <c r="A58" s="6"/>
      <c r="B58" s="8"/>
      <c r="C58" s="4"/>
      <c r="D58" s="15" t="s">
        <v>188</v>
      </c>
      <c r="E58" s="41"/>
      <c r="F58" s="41">
        <f>3</f>
        <v>3</v>
      </c>
      <c r="G58" s="14" t="s">
        <v>31</v>
      </c>
      <c r="H58" s="41">
        <f>789.6/F58</f>
        <v>263.2</v>
      </c>
      <c r="I58" s="56">
        <f>F58*H58</f>
        <v>789.59999999999991</v>
      </c>
      <c r="J58" s="13" t="s">
        <v>124</v>
      </c>
      <c r="L58" s="2"/>
    </row>
    <row r="59" spans="1:12" ht="32.25" x14ac:dyDescent="0.3">
      <c r="A59" s="6"/>
      <c r="B59" s="8"/>
      <c r="C59" s="4"/>
      <c r="D59" s="15" t="s">
        <v>189</v>
      </c>
      <c r="E59" s="41"/>
      <c r="F59" s="41">
        <v>4</v>
      </c>
      <c r="G59" s="14" t="s">
        <v>31</v>
      </c>
      <c r="H59" s="41">
        <f>860.2/F59</f>
        <v>215.05</v>
      </c>
      <c r="I59" s="56">
        <f>F59*H59</f>
        <v>860.2</v>
      </c>
      <c r="J59" s="13" t="s">
        <v>124</v>
      </c>
      <c r="L59" s="2"/>
    </row>
    <row r="60" spans="1:12" ht="24" customHeight="1" x14ac:dyDescent="0.3">
      <c r="A60" s="6" t="s">
        <v>60</v>
      </c>
      <c r="B60" s="8"/>
      <c r="C60" s="4"/>
      <c r="D60" s="4" t="s">
        <v>48</v>
      </c>
      <c r="E60" s="41"/>
      <c r="F60" s="41"/>
      <c r="G60" s="14" t="s">
        <v>53</v>
      </c>
      <c r="H60" s="41"/>
      <c r="I60" s="41" t="s">
        <v>142</v>
      </c>
      <c r="J60" s="5"/>
      <c r="L60" s="2"/>
    </row>
    <row r="61" spans="1:12" ht="18.75" x14ac:dyDescent="0.3">
      <c r="A61" s="6" t="s">
        <v>65</v>
      </c>
      <c r="B61" s="5"/>
      <c r="C61" s="4"/>
      <c r="D61" s="4" t="s">
        <v>93</v>
      </c>
      <c r="E61" s="41"/>
      <c r="F61" s="41"/>
      <c r="G61" s="14" t="s">
        <v>31</v>
      </c>
      <c r="H61" s="41"/>
      <c r="I61" s="41"/>
      <c r="J61" s="13"/>
      <c r="L61" s="2"/>
    </row>
    <row r="62" spans="1:12" ht="18.75" x14ac:dyDescent="0.3">
      <c r="A62" s="28"/>
      <c r="B62" s="22"/>
      <c r="C62" s="22"/>
      <c r="D62" s="22" t="s">
        <v>162</v>
      </c>
      <c r="E62" s="45"/>
      <c r="F62" s="45"/>
      <c r="G62" s="12" t="s">
        <v>31</v>
      </c>
      <c r="H62" s="41"/>
      <c r="I62" s="41"/>
      <c r="J62" s="13"/>
      <c r="L62" s="2"/>
    </row>
    <row r="63" spans="1:12" ht="18.75" x14ac:dyDescent="0.3">
      <c r="A63" s="28"/>
      <c r="B63" s="22"/>
      <c r="C63" s="22"/>
      <c r="D63" s="22"/>
      <c r="E63" s="45"/>
      <c r="F63" s="45"/>
      <c r="G63" s="12"/>
      <c r="H63" s="41"/>
      <c r="I63" s="44">
        <f>SUM(I41:I62)</f>
        <v>110808.60000000002</v>
      </c>
      <c r="J63" s="13"/>
      <c r="L63" s="2"/>
    </row>
    <row r="64" spans="1:12" ht="18.75" x14ac:dyDescent="0.3">
      <c r="A64" s="77" t="s">
        <v>67</v>
      </c>
      <c r="B64" s="78"/>
      <c r="C64" s="78"/>
      <c r="D64" s="78"/>
      <c r="E64" s="78"/>
      <c r="F64" s="78"/>
      <c r="G64" s="79"/>
      <c r="H64" s="18"/>
      <c r="I64" s="5"/>
      <c r="J64" s="5"/>
      <c r="L64" s="2"/>
    </row>
    <row r="65" spans="1:12" ht="37.5" x14ac:dyDescent="0.25">
      <c r="A65" s="9" t="s">
        <v>29</v>
      </c>
      <c r="B65" s="8"/>
      <c r="C65" s="4"/>
      <c r="D65" s="15" t="s">
        <v>146</v>
      </c>
      <c r="E65" s="41" t="s">
        <v>142</v>
      </c>
      <c r="F65" s="41" t="s">
        <v>142</v>
      </c>
      <c r="G65" s="13" t="s">
        <v>54</v>
      </c>
      <c r="H65" s="41"/>
      <c r="I65" s="41" t="s">
        <v>142</v>
      </c>
      <c r="J65" s="13"/>
      <c r="L65" s="2"/>
    </row>
    <row r="66" spans="1:12" ht="46.5" customHeight="1" x14ac:dyDescent="0.25">
      <c r="A66" s="9" t="s">
        <v>92</v>
      </c>
      <c r="B66" s="8"/>
      <c r="C66" s="4"/>
      <c r="D66" s="42" t="s">
        <v>128</v>
      </c>
      <c r="E66" s="32"/>
      <c r="F66" s="13">
        <f>2036</f>
        <v>2036</v>
      </c>
      <c r="G66" s="13" t="s">
        <v>114</v>
      </c>
      <c r="H66" s="33">
        <f>(9531.2+9531.2+9531.2+9591.2+9591.2+9591.2+9963+9963+9963+10092.6+10092.6+10092.6)/F66</f>
        <v>57.727897838899814</v>
      </c>
      <c r="I66" s="33">
        <f t="shared" ref="I66:I71" si="3">F66*H66</f>
        <v>117534.00000000001</v>
      </c>
      <c r="J66" s="13" t="s">
        <v>117</v>
      </c>
      <c r="L66" s="2"/>
    </row>
    <row r="67" spans="1:12" ht="46.5" customHeight="1" x14ac:dyDescent="0.25">
      <c r="A67" s="9"/>
      <c r="B67" s="8"/>
      <c r="C67" s="4"/>
      <c r="D67" s="15" t="s">
        <v>112</v>
      </c>
      <c r="E67" s="32"/>
      <c r="F67" s="13">
        <f>1800</f>
        <v>1800</v>
      </c>
      <c r="G67" s="13" t="s">
        <v>30</v>
      </c>
      <c r="H67" s="33">
        <f>170604.6/F67</f>
        <v>94.780333333333331</v>
      </c>
      <c r="I67" s="33">
        <f t="shared" si="3"/>
        <v>170604.6</v>
      </c>
      <c r="J67" s="13" t="s">
        <v>118</v>
      </c>
      <c r="L67" s="2"/>
    </row>
    <row r="68" spans="1:12" ht="46.5" customHeight="1" x14ac:dyDescent="0.25">
      <c r="A68" s="9"/>
      <c r="B68" s="8"/>
      <c r="C68" s="4"/>
      <c r="D68" s="15" t="s">
        <v>113</v>
      </c>
      <c r="E68" s="41"/>
      <c r="F68" s="41">
        <f>120</f>
        <v>120</v>
      </c>
      <c r="G68" s="13" t="s">
        <v>30</v>
      </c>
      <c r="H68" s="44">
        <f>11498.4/F68</f>
        <v>95.82</v>
      </c>
      <c r="I68" s="41">
        <f t="shared" si="3"/>
        <v>11498.4</v>
      </c>
      <c r="J68" s="13" t="s">
        <v>118</v>
      </c>
      <c r="L68" s="2"/>
    </row>
    <row r="69" spans="1:12" ht="46.5" customHeight="1" x14ac:dyDescent="0.25">
      <c r="A69" s="9"/>
      <c r="B69" s="8"/>
      <c r="C69" s="4"/>
      <c r="D69" s="15" t="s">
        <v>135</v>
      </c>
      <c r="E69" s="32"/>
      <c r="F69" s="13">
        <f>10</f>
        <v>10</v>
      </c>
      <c r="G69" s="13" t="s">
        <v>31</v>
      </c>
      <c r="H69" s="13">
        <f>12067.8/F69</f>
        <v>1206.78</v>
      </c>
      <c r="I69" s="58">
        <f t="shared" ref="I69" si="4">F69*H69</f>
        <v>12067.8</v>
      </c>
      <c r="J69" s="13" t="s">
        <v>118</v>
      </c>
      <c r="L69" s="2"/>
    </row>
    <row r="70" spans="1:12" ht="46.5" customHeight="1" x14ac:dyDescent="0.25">
      <c r="A70" s="9"/>
      <c r="B70" s="8"/>
      <c r="C70" s="4"/>
      <c r="D70" s="15" t="s">
        <v>174</v>
      </c>
      <c r="E70" s="32"/>
      <c r="F70" s="13">
        <f>5</f>
        <v>5</v>
      </c>
      <c r="G70" s="13" t="s">
        <v>31</v>
      </c>
      <c r="H70" s="33">
        <f>108710.8/F70</f>
        <v>21742.16</v>
      </c>
      <c r="I70" s="58">
        <f>F70*H70</f>
        <v>108710.8</v>
      </c>
      <c r="J70" s="13" t="s">
        <v>118</v>
      </c>
      <c r="L70" s="2"/>
    </row>
    <row r="71" spans="1:12" ht="46.5" customHeight="1" x14ac:dyDescent="0.25">
      <c r="A71" s="9"/>
      <c r="B71" s="8"/>
      <c r="C71" s="4"/>
      <c r="D71" s="15" t="s">
        <v>175</v>
      </c>
      <c r="E71" s="32"/>
      <c r="F71" s="13">
        <f>5</f>
        <v>5</v>
      </c>
      <c r="G71" s="13" t="s">
        <v>31</v>
      </c>
      <c r="H71" s="33">
        <f>38915/F71</f>
        <v>7783</v>
      </c>
      <c r="I71" s="58">
        <f t="shared" si="3"/>
        <v>38915</v>
      </c>
      <c r="J71" s="13" t="s">
        <v>118</v>
      </c>
      <c r="L71" s="2"/>
    </row>
    <row r="72" spans="1:12" ht="18.75" x14ac:dyDescent="0.25">
      <c r="A72" s="9" t="s">
        <v>83</v>
      </c>
      <c r="B72" s="8"/>
      <c r="C72" s="4"/>
      <c r="D72" s="15" t="s">
        <v>148</v>
      </c>
      <c r="E72" s="41" t="s">
        <v>142</v>
      </c>
      <c r="F72" s="41">
        <f>6</f>
        <v>6</v>
      </c>
      <c r="G72" s="13" t="s">
        <v>54</v>
      </c>
      <c r="H72" s="44">
        <f>8878.6/F72</f>
        <v>1479.7666666666667</v>
      </c>
      <c r="I72" s="56">
        <f>F72*H72</f>
        <v>8878.6</v>
      </c>
      <c r="J72" s="13" t="s">
        <v>124</v>
      </c>
      <c r="L72" s="2"/>
    </row>
    <row r="73" spans="1:12" ht="18.75" x14ac:dyDescent="0.25">
      <c r="A73" s="9"/>
      <c r="B73" s="8"/>
      <c r="C73" s="4"/>
      <c r="D73" s="15" t="s">
        <v>158</v>
      </c>
      <c r="E73" s="41" t="s">
        <v>142</v>
      </c>
      <c r="F73" s="41" t="s">
        <v>142</v>
      </c>
      <c r="G73" s="13" t="s">
        <v>31</v>
      </c>
      <c r="H73" s="41" t="s">
        <v>142</v>
      </c>
      <c r="I73" s="41" t="s">
        <v>142</v>
      </c>
      <c r="J73" s="13"/>
      <c r="L73" s="2"/>
    </row>
    <row r="74" spans="1:12" ht="18.75" x14ac:dyDescent="0.25">
      <c r="A74" s="9" t="s">
        <v>20</v>
      </c>
      <c r="B74" s="8"/>
      <c r="C74" s="4"/>
      <c r="D74" s="15" t="s">
        <v>68</v>
      </c>
      <c r="E74" s="41" t="s">
        <v>142</v>
      </c>
      <c r="F74" s="41" t="s">
        <v>142</v>
      </c>
      <c r="G74" s="13" t="s">
        <v>30</v>
      </c>
      <c r="H74" s="41" t="s">
        <v>142</v>
      </c>
      <c r="I74" s="41" t="s">
        <v>142</v>
      </c>
      <c r="J74" s="13"/>
      <c r="L74" s="2"/>
    </row>
    <row r="75" spans="1:12" ht="31.5" x14ac:dyDescent="0.25">
      <c r="A75" s="9" t="s">
        <v>21</v>
      </c>
      <c r="B75" s="8"/>
      <c r="C75" s="4"/>
      <c r="D75" s="15" t="s">
        <v>70</v>
      </c>
      <c r="E75" s="41" t="s">
        <v>142</v>
      </c>
      <c r="F75" s="41" t="s">
        <v>142</v>
      </c>
      <c r="G75" s="13" t="s">
        <v>54</v>
      </c>
      <c r="H75" s="41" t="s">
        <v>142</v>
      </c>
      <c r="I75" s="41" t="s">
        <v>142</v>
      </c>
      <c r="J75" s="13"/>
      <c r="L75" s="2"/>
    </row>
    <row r="76" spans="1:12" ht="18.75" x14ac:dyDescent="0.25">
      <c r="A76" s="46"/>
      <c r="B76" s="47"/>
      <c r="C76" s="22"/>
      <c r="D76" s="30"/>
      <c r="E76" s="45"/>
      <c r="F76" s="45"/>
      <c r="G76" s="31"/>
      <c r="H76" s="41"/>
      <c r="I76" s="44">
        <f>SUM(I66:I75)</f>
        <v>468209.2</v>
      </c>
      <c r="J76" s="13"/>
      <c r="L76" s="2"/>
    </row>
    <row r="77" spans="1:12" ht="18.75" x14ac:dyDescent="0.3">
      <c r="A77" s="73" t="s">
        <v>71</v>
      </c>
      <c r="B77" s="74"/>
      <c r="C77" s="74"/>
      <c r="D77" s="74"/>
      <c r="E77" s="74"/>
      <c r="F77" s="74"/>
      <c r="G77" s="75"/>
      <c r="H77" s="19"/>
      <c r="I77" s="5"/>
      <c r="J77" s="5"/>
      <c r="L77" s="2"/>
    </row>
    <row r="78" spans="1:12" ht="37.5" x14ac:dyDescent="0.25">
      <c r="A78" s="9" t="s">
        <v>92</v>
      </c>
      <c r="B78" s="8"/>
      <c r="C78" s="4"/>
      <c r="D78" s="4" t="s">
        <v>130</v>
      </c>
      <c r="E78" s="31"/>
      <c r="F78" s="13">
        <f>2+4+2+4+1+4+8+14+1</f>
        <v>40</v>
      </c>
      <c r="G78" s="13" t="s">
        <v>116</v>
      </c>
      <c r="H78" s="33">
        <f>(1402.8+2808.4+1412.8+2828+734+2937.2+5873.2+17843.4+742.2)/F78/3</f>
        <v>304.84999999999997</v>
      </c>
      <c r="I78" s="33">
        <f t="shared" ref="I78" si="5">F78*H78</f>
        <v>12193.999999999998</v>
      </c>
      <c r="J78" s="13" t="s">
        <v>117</v>
      </c>
      <c r="L78" s="2"/>
    </row>
    <row r="79" spans="1:12" ht="47.25" x14ac:dyDescent="0.25">
      <c r="A79" s="9"/>
      <c r="B79" s="8"/>
      <c r="C79" s="4"/>
      <c r="D79" s="42" t="s">
        <v>157</v>
      </c>
      <c r="E79" s="41"/>
      <c r="F79" s="41">
        <f>2</f>
        <v>2</v>
      </c>
      <c r="G79" s="13" t="s">
        <v>31</v>
      </c>
      <c r="H79" s="41">
        <f>13921.6/F79</f>
        <v>6960.8</v>
      </c>
      <c r="I79" s="66">
        <f>F79*H79</f>
        <v>13921.6</v>
      </c>
      <c r="J79" s="13" t="s">
        <v>167</v>
      </c>
      <c r="L79" s="2"/>
    </row>
    <row r="80" spans="1:12" ht="47.25" x14ac:dyDescent="0.25">
      <c r="A80" s="9"/>
      <c r="B80" s="8"/>
      <c r="C80" s="4"/>
      <c r="D80" s="42" t="s">
        <v>166</v>
      </c>
      <c r="E80" s="41"/>
      <c r="F80" s="41">
        <f>2+2+2+2</f>
        <v>8</v>
      </c>
      <c r="G80" s="13" t="s">
        <v>31</v>
      </c>
      <c r="H80" s="41">
        <f>(14233.6+14351.2+14861.8+14861.6)/F80</f>
        <v>7288.5250000000005</v>
      </c>
      <c r="I80" s="56">
        <f t="shared" ref="I80" si="6">F80*H80</f>
        <v>58308.200000000004</v>
      </c>
      <c r="J80" s="13" t="s">
        <v>117</v>
      </c>
      <c r="L80" s="2"/>
    </row>
    <row r="81" spans="1:12" ht="18.75" x14ac:dyDescent="0.25">
      <c r="A81" s="9" t="s">
        <v>83</v>
      </c>
      <c r="B81" s="8"/>
      <c r="C81" s="4"/>
      <c r="D81" s="15" t="s">
        <v>69</v>
      </c>
      <c r="E81" s="41" t="s">
        <v>142</v>
      </c>
      <c r="F81" s="41" t="s">
        <v>142</v>
      </c>
      <c r="G81" s="13" t="s">
        <v>54</v>
      </c>
      <c r="H81" s="41"/>
      <c r="I81" s="41"/>
      <c r="J81" s="5"/>
      <c r="L81" s="2"/>
    </row>
    <row r="82" spans="1:12" ht="31.5" x14ac:dyDescent="0.25">
      <c r="A82" s="9" t="s">
        <v>21</v>
      </c>
      <c r="B82" s="8"/>
      <c r="C82" s="4"/>
      <c r="D82" s="15" t="s">
        <v>70</v>
      </c>
      <c r="E82" s="41" t="s">
        <v>142</v>
      </c>
      <c r="F82" s="41" t="s">
        <v>142</v>
      </c>
      <c r="G82" s="13" t="s">
        <v>147</v>
      </c>
      <c r="H82" s="41" t="s">
        <v>142</v>
      </c>
      <c r="I82" s="41" t="s">
        <v>142</v>
      </c>
      <c r="J82" s="13"/>
      <c r="L82" s="2"/>
    </row>
    <row r="83" spans="1:12" ht="18.75" x14ac:dyDescent="0.25">
      <c r="A83" s="46"/>
      <c r="B83" s="47"/>
      <c r="C83" s="22"/>
      <c r="D83" s="30"/>
      <c r="E83" s="45"/>
      <c r="F83" s="45"/>
      <c r="G83" s="31"/>
      <c r="H83" s="41"/>
      <c r="I83" s="41">
        <f>SUM(I78:I82)</f>
        <v>84423.8</v>
      </c>
      <c r="J83" s="13"/>
      <c r="L83" s="2"/>
    </row>
    <row r="84" spans="1:12" ht="18.75" x14ac:dyDescent="0.3">
      <c r="A84" s="73" t="s">
        <v>72</v>
      </c>
      <c r="B84" s="74"/>
      <c r="C84" s="74"/>
      <c r="D84" s="74"/>
      <c r="E84" s="74"/>
      <c r="F84" s="74"/>
      <c r="G84" s="75"/>
      <c r="H84" s="13"/>
      <c r="I84" s="5"/>
      <c r="J84" s="5"/>
      <c r="L84" s="2"/>
    </row>
    <row r="85" spans="1:12" ht="37.5" x14ac:dyDescent="0.25">
      <c r="A85" s="9" t="s">
        <v>92</v>
      </c>
      <c r="B85" s="8"/>
      <c r="C85" s="4"/>
      <c r="D85" s="4" t="s">
        <v>131</v>
      </c>
      <c r="E85" s="31"/>
      <c r="F85" s="13">
        <f>2+4+2+4+1+4+8+14+1</f>
        <v>40</v>
      </c>
      <c r="G85" s="13" t="s">
        <v>116</v>
      </c>
      <c r="H85" s="33">
        <f>(1402.8+2808.4+1412.8+2828+734+2937.2+5873.2+17843.4+742.2)/F85/3</f>
        <v>304.84999999999997</v>
      </c>
      <c r="I85" s="33">
        <f t="shared" ref="I85" si="7">F85*H85</f>
        <v>12193.999999999998</v>
      </c>
      <c r="J85" s="13" t="s">
        <v>117</v>
      </c>
      <c r="L85" s="2"/>
    </row>
    <row r="86" spans="1:12" ht="31.5" x14ac:dyDescent="0.25">
      <c r="A86" s="9"/>
      <c r="B86" s="8"/>
      <c r="C86" s="4"/>
      <c r="D86" s="42" t="s">
        <v>155</v>
      </c>
      <c r="E86" s="41" t="s">
        <v>142</v>
      </c>
      <c r="F86" s="41">
        <f>1</f>
        <v>1</v>
      </c>
      <c r="G86" s="13" t="s">
        <v>31</v>
      </c>
      <c r="H86" s="41">
        <f>1434/F86</f>
        <v>1434</v>
      </c>
      <c r="I86" s="41">
        <f>F86*H86</f>
        <v>1434</v>
      </c>
      <c r="J86" s="13" t="s">
        <v>167</v>
      </c>
      <c r="L86" s="2"/>
    </row>
    <row r="87" spans="1:12" ht="18.75" x14ac:dyDescent="0.25">
      <c r="A87" s="9" t="s">
        <v>83</v>
      </c>
      <c r="B87" s="8"/>
      <c r="C87" s="4"/>
      <c r="D87" s="15" t="s">
        <v>69</v>
      </c>
      <c r="E87" s="41" t="s">
        <v>142</v>
      </c>
      <c r="F87" s="41" t="s">
        <v>142</v>
      </c>
      <c r="G87" s="14" t="s">
        <v>54</v>
      </c>
      <c r="H87" s="41"/>
      <c r="I87" s="41" t="s">
        <v>142</v>
      </c>
      <c r="J87" s="5"/>
      <c r="L87" s="2"/>
    </row>
    <row r="88" spans="1:12" ht="18.75" x14ac:dyDescent="0.25">
      <c r="A88" s="9"/>
      <c r="B88" s="8"/>
      <c r="C88" s="4"/>
      <c r="D88" s="15" t="s">
        <v>160</v>
      </c>
      <c r="E88" s="41" t="s">
        <v>142</v>
      </c>
      <c r="F88" s="41" t="s">
        <v>142</v>
      </c>
      <c r="G88" s="14" t="s">
        <v>31</v>
      </c>
      <c r="H88" s="41" t="s">
        <v>142</v>
      </c>
      <c r="I88" s="41" t="s">
        <v>142</v>
      </c>
      <c r="J88" s="5"/>
      <c r="L88" s="2"/>
    </row>
    <row r="89" spans="1:12" ht="31.5" x14ac:dyDescent="0.25">
      <c r="A89" s="9" t="s">
        <v>21</v>
      </c>
      <c r="B89" s="8"/>
      <c r="C89" s="4"/>
      <c r="D89" s="15" t="s">
        <v>70</v>
      </c>
      <c r="E89" s="41" t="s">
        <v>142</v>
      </c>
      <c r="F89" s="41" t="s">
        <v>142</v>
      </c>
      <c r="G89" s="14" t="s">
        <v>54</v>
      </c>
      <c r="H89" s="41" t="s">
        <v>142</v>
      </c>
      <c r="I89" s="41" t="s">
        <v>142</v>
      </c>
      <c r="J89" s="5"/>
      <c r="L89" s="2"/>
    </row>
    <row r="90" spans="1:12" ht="18.75" x14ac:dyDescent="0.25">
      <c r="A90" s="46"/>
      <c r="B90" s="47"/>
      <c r="C90" s="22"/>
      <c r="D90" s="30"/>
      <c r="E90" s="45"/>
      <c r="F90" s="45"/>
      <c r="G90" s="12"/>
      <c r="H90" s="41"/>
      <c r="I90" s="41">
        <f>SUM(I85:I89)</f>
        <v>13627.999999999998</v>
      </c>
      <c r="J90" s="5"/>
      <c r="L90" s="2"/>
    </row>
    <row r="91" spans="1:12" ht="18.75" x14ac:dyDescent="0.3">
      <c r="A91" s="73" t="s">
        <v>73</v>
      </c>
      <c r="B91" s="74"/>
      <c r="C91" s="74"/>
      <c r="D91" s="74"/>
      <c r="E91" s="74"/>
      <c r="F91" s="74"/>
      <c r="G91" s="75"/>
      <c r="H91" s="19"/>
      <c r="I91" s="5"/>
      <c r="J91" s="5"/>
      <c r="L91" s="2"/>
    </row>
    <row r="92" spans="1:12" ht="37.5" x14ac:dyDescent="0.25">
      <c r="A92" s="9" t="s">
        <v>98</v>
      </c>
      <c r="B92" s="8"/>
      <c r="C92" s="4"/>
      <c r="D92" s="4" t="s">
        <v>132</v>
      </c>
      <c r="E92" s="31"/>
      <c r="F92" s="13">
        <f>2+4+2+4+1+4+8+14+1</f>
        <v>40</v>
      </c>
      <c r="G92" s="13" t="s">
        <v>116</v>
      </c>
      <c r="H92" s="33">
        <f>(1402.8+2808.4+1412.8+2828+734+2937.2+5873.2+17843.4+742.2)/F92/3</f>
        <v>304.84999999999997</v>
      </c>
      <c r="I92" s="33">
        <f t="shared" ref="I92" si="8">F92*H92</f>
        <v>12193.999999999998</v>
      </c>
      <c r="J92" s="13" t="s">
        <v>117</v>
      </c>
      <c r="L92" s="2"/>
    </row>
    <row r="93" spans="1:12" ht="31.5" x14ac:dyDescent="0.25">
      <c r="A93" s="9"/>
      <c r="B93" s="8"/>
      <c r="C93" s="4"/>
      <c r="D93" s="15" t="s">
        <v>123</v>
      </c>
      <c r="E93" s="41" t="s">
        <v>142</v>
      </c>
      <c r="F93" s="41">
        <f>1</f>
        <v>1</v>
      </c>
      <c r="G93" s="13" t="s">
        <v>30</v>
      </c>
      <c r="H93" s="41">
        <f>1290.8/F93</f>
        <v>1290.8</v>
      </c>
      <c r="I93" s="56">
        <f t="shared" ref="I93:I97" si="9">F93*H93</f>
        <v>1290.8</v>
      </c>
      <c r="J93" s="13" t="s">
        <v>167</v>
      </c>
      <c r="L93" s="2"/>
    </row>
    <row r="94" spans="1:12" ht="18.75" x14ac:dyDescent="0.25">
      <c r="A94" s="9"/>
      <c r="B94" s="8"/>
      <c r="C94" s="4"/>
      <c r="D94" s="15" t="s">
        <v>191</v>
      </c>
      <c r="E94" s="41" t="s">
        <v>142</v>
      </c>
      <c r="F94" s="41">
        <v>1</v>
      </c>
      <c r="G94" s="13" t="s">
        <v>192</v>
      </c>
      <c r="H94" s="41">
        <f>549.8/F94</f>
        <v>549.79999999999995</v>
      </c>
      <c r="I94" s="56">
        <f t="shared" si="9"/>
        <v>549.79999999999995</v>
      </c>
      <c r="J94" s="13" t="s">
        <v>124</v>
      </c>
      <c r="L94" s="2"/>
    </row>
    <row r="95" spans="1:12" ht="18.75" x14ac:dyDescent="0.25">
      <c r="A95" s="9"/>
      <c r="B95" s="8"/>
      <c r="C95" s="4"/>
      <c r="D95" s="4" t="s">
        <v>115</v>
      </c>
      <c r="E95" s="41" t="s">
        <v>142</v>
      </c>
      <c r="F95" s="41">
        <f>12+2+32+12</f>
        <v>58</v>
      </c>
      <c r="G95" s="13" t="s">
        <v>30</v>
      </c>
      <c r="H95" s="44">
        <f>(4010+667.6+11327+4247)/F95</f>
        <v>349.16551724137929</v>
      </c>
      <c r="I95" s="41">
        <f t="shared" si="9"/>
        <v>20251.599999999999</v>
      </c>
      <c r="J95" s="13" t="s">
        <v>118</v>
      </c>
      <c r="L95" s="2"/>
    </row>
    <row r="96" spans="1:12" ht="18.75" x14ac:dyDescent="0.25">
      <c r="A96" s="9"/>
      <c r="B96" s="8"/>
      <c r="C96" s="4"/>
      <c r="D96" s="4" t="s">
        <v>156</v>
      </c>
      <c r="E96" s="41" t="s">
        <v>142</v>
      </c>
      <c r="F96" s="41">
        <f>3+3+2</f>
        <v>8</v>
      </c>
      <c r="G96" s="13" t="s">
        <v>139</v>
      </c>
      <c r="H96" s="44">
        <f>(197.2+204.6+134.8)/F96</f>
        <v>67.074999999999989</v>
      </c>
      <c r="I96" s="41">
        <f>F96*H96</f>
        <v>536.59999999999991</v>
      </c>
      <c r="J96" s="13" t="s">
        <v>118</v>
      </c>
      <c r="L96" s="2"/>
    </row>
    <row r="97" spans="1:12" ht="18.75" x14ac:dyDescent="0.25">
      <c r="A97" s="9"/>
      <c r="B97" s="8"/>
      <c r="C97" s="4"/>
      <c r="D97" s="4" t="s">
        <v>159</v>
      </c>
      <c r="E97" s="41" t="s">
        <v>142</v>
      </c>
      <c r="F97" s="41">
        <f>1+1</f>
        <v>2</v>
      </c>
      <c r="G97" s="13" t="s">
        <v>31</v>
      </c>
      <c r="H97" s="41">
        <f>(38323.6+25223.6)/F97</f>
        <v>31773.599999999999</v>
      </c>
      <c r="I97" s="56">
        <f t="shared" si="9"/>
        <v>63547.199999999997</v>
      </c>
      <c r="J97" s="13" t="s">
        <v>122</v>
      </c>
      <c r="L97" s="2"/>
    </row>
    <row r="98" spans="1:12" ht="18.75" x14ac:dyDescent="0.25">
      <c r="A98" s="9" t="s">
        <v>22</v>
      </c>
      <c r="B98" s="8"/>
      <c r="C98" s="4"/>
      <c r="D98" s="4" t="s">
        <v>76</v>
      </c>
      <c r="E98" s="41" t="s">
        <v>142</v>
      </c>
      <c r="F98" s="41" t="s">
        <v>142</v>
      </c>
      <c r="G98" s="13" t="s">
        <v>30</v>
      </c>
      <c r="H98" s="41" t="s">
        <v>142</v>
      </c>
      <c r="I98" s="41" t="s">
        <v>142</v>
      </c>
      <c r="J98" s="5"/>
      <c r="L98" s="2"/>
    </row>
    <row r="99" spans="1:12" ht="18.75" x14ac:dyDescent="0.25">
      <c r="A99" s="46"/>
      <c r="B99" s="47"/>
      <c r="C99" s="22"/>
      <c r="D99" s="22"/>
      <c r="E99" s="45"/>
      <c r="F99" s="45"/>
      <c r="G99" s="31"/>
      <c r="H99" s="41"/>
      <c r="I99" s="44">
        <f>SUM(I92:I98)</f>
        <v>98370</v>
      </c>
      <c r="J99" s="5"/>
      <c r="L99" s="2"/>
    </row>
    <row r="100" spans="1:12" ht="18.75" x14ac:dyDescent="0.3">
      <c r="A100" s="73" t="s">
        <v>78</v>
      </c>
      <c r="B100" s="74"/>
      <c r="C100" s="74"/>
      <c r="D100" s="74"/>
      <c r="E100" s="74"/>
      <c r="F100" s="74"/>
      <c r="G100" s="75"/>
      <c r="H100" s="5"/>
      <c r="I100" s="5"/>
      <c r="J100" s="5"/>
      <c r="L100" s="2"/>
    </row>
    <row r="101" spans="1:12" ht="38.25" customHeight="1" x14ac:dyDescent="0.25">
      <c r="A101" s="9" t="s">
        <v>23</v>
      </c>
      <c r="B101" s="5"/>
      <c r="C101" s="4"/>
      <c r="D101" s="15" t="s">
        <v>145</v>
      </c>
      <c r="E101" s="41" t="s">
        <v>142</v>
      </c>
      <c r="F101" s="41" t="s">
        <v>142</v>
      </c>
      <c r="G101" s="13" t="s">
        <v>54</v>
      </c>
      <c r="H101" s="41" t="s">
        <v>142</v>
      </c>
      <c r="I101" s="41" t="s">
        <v>142</v>
      </c>
      <c r="J101" s="13"/>
      <c r="L101" s="2"/>
    </row>
    <row r="102" spans="1:12" ht="38.25" customHeight="1" x14ac:dyDescent="0.25">
      <c r="A102" s="9"/>
      <c r="B102" s="5"/>
      <c r="C102" s="4"/>
      <c r="D102" s="15" t="s">
        <v>202</v>
      </c>
      <c r="E102" s="41"/>
      <c r="F102" s="41">
        <f>1</f>
        <v>1</v>
      </c>
      <c r="G102" s="13" t="s">
        <v>31</v>
      </c>
      <c r="H102" s="41">
        <f>60656.2/F102</f>
        <v>60656.2</v>
      </c>
      <c r="I102" s="66">
        <f>F102*H102</f>
        <v>60656.2</v>
      </c>
      <c r="J102" s="13" t="s">
        <v>118</v>
      </c>
      <c r="L102" s="2"/>
    </row>
    <row r="103" spans="1:12" ht="18.75" x14ac:dyDescent="0.25">
      <c r="A103" s="9" t="s">
        <v>24</v>
      </c>
      <c r="B103" s="5"/>
      <c r="C103" s="4"/>
      <c r="D103" s="4" t="s">
        <v>77</v>
      </c>
      <c r="E103" s="41" t="s">
        <v>142</v>
      </c>
      <c r="F103" s="41" t="s">
        <v>142</v>
      </c>
      <c r="G103" s="13" t="s">
        <v>54</v>
      </c>
      <c r="H103" s="41" t="s">
        <v>142</v>
      </c>
      <c r="I103" s="41" t="s">
        <v>142</v>
      </c>
      <c r="J103" s="13"/>
      <c r="L103" s="2"/>
    </row>
    <row r="104" spans="1:12" ht="31.5" x14ac:dyDescent="0.25">
      <c r="A104" s="9" t="s">
        <v>129</v>
      </c>
      <c r="B104" s="5"/>
      <c r="C104" s="4"/>
      <c r="D104" s="15" t="s">
        <v>120</v>
      </c>
      <c r="E104" s="41" t="s">
        <v>142</v>
      </c>
      <c r="F104" s="41" t="s">
        <v>142</v>
      </c>
      <c r="G104" s="13" t="s">
        <v>54</v>
      </c>
      <c r="H104" s="41" t="s">
        <v>142</v>
      </c>
      <c r="I104" s="41" t="s">
        <v>142</v>
      </c>
      <c r="J104" s="13"/>
      <c r="L104" s="2"/>
    </row>
    <row r="105" spans="1:12" ht="31.5" x14ac:dyDescent="0.25">
      <c r="A105" s="9"/>
      <c r="B105" s="5"/>
      <c r="C105" s="4"/>
      <c r="D105" s="15" t="s">
        <v>151</v>
      </c>
      <c r="E105" s="41" t="s">
        <v>142</v>
      </c>
      <c r="F105" s="41">
        <f>13</f>
        <v>13</v>
      </c>
      <c r="G105" s="13" t="s">
        <v>152</v>
      </c>
      <c r="H105" s="44">
        <f>2934.2/F105</f>
        <v>225.7076923076923</v>
      </c>
      <c r="I105" s="66">
        <f>F105*H105</f>
        <v>2934.2</v>
      </c>
      <c r="J105" s="13" t="s">
        <v>118</v>
      </c>
      <c r="L105" s="2"/>
    </row>
    <row r="106" spans="1:12" ht="18.75" x14ac:dyDescent="0.25">
      <c r="A106" s="9"/>
      <c r="B106" s="5"/>
      <c r="C106" s="4"/>
      <c r="D106" s="15" t="s">
        <v>107</v>
      </c>
      <c r="E106" s="32"/>
      <c r="F106" s="13">
        <f>1+9+2</f>
        <v>12</v>
      </c>
      <c r="G106" s="13" t="s">
        <v>54</v>
      </c>
      <c r="H106" s="13">
        <f>(208.4+1520.6+338)/F106</f>
        <v>172.25</v>
      </c>
      <c r="I106" s="13">
        <f t="shared" ref="I106:I108" si="10">F106*H106</f>
        <v>2067</v>
      </c>
      <c r="J106" s="13" t="s">
        <v>117</v>
      </c>
      <c r="L106" s="2"/>
    </row>
    <row r="107" spans="1:12" ht="18.75" x14ac:dyDescent="0.25">
      <c r="A107" s="9"/>
      <c r="B107" s="5"/>
      <c r="C107" s="4"/>
      <c r="D107" s="15" t="s">
        <v>144</v>
      </c>
      <c r="E107" s="41"/>
      <c r="F107" s="41"/>
      <c r="G107" s="13" t="s">
        <v>31</v>
      </c>
      <c r="H107" s="41"/>
      <c r="I107" s="41" t="s">
        <v>142</v>
      </c>
      <c r="J107" s="13"/>
      <c r="L107" s="2"/>
    </row>
    <row r="108" spans="1:12" ht="56.25" x14ac:dyDescent="0.25">
      <c r="A108" s="9" t="s">
        <v>108</v>
      </c>
      <c r="B108" s="5"/>
      <c r="C108" s="4"/>
      <c r="D108" s="15" t="s">
        <v>127</v>
      </c>
      <c r="E108" s="32"/>
      <c r="F108" s="13">
        <f>25+25+25+25+25+25+25+25+25+25+25</f>
        <v>275</v>
      </c>
      <c r="G108" s="13" t="s">
        <v>109</v>
      </c>
      <c r="H108" s="33">
        <f>(2467.4+2467.4+2467.4+2481.4+2481.4+2481.4+2579.4+2579.4+2579.4+2611+2611)/F108</f>
        <v>101.11490909090909</v>
      </c>
      <c r="I108" s="13">
        <f t="shared" si="10"/>
        <v>27806.600000000002</v>
      </c>
      <c r="J108" s="13" t="s">
        <v>117</v>
      </c>
      <c r="L108" s="2"/>
    </row>
    <row r="109" spans="1:12" ht="18.75" x14ac:dyDescent="0.25">
      <c r="A109" s="46"/>
      <c r="B109" s="22"/>
      <c r="C109" s="22"/>
      <c r="D109" s="30"/>
      <c r="E109" s="48"/>
      <c r="F109" s="49"/>
      <c r="G109" s="31"/>
      <c r="H109" s="31"/>
      <c r="I109" s="13">
        <f>SUM(I106:I108)</f>
        <v>29873.600000000002</v>
      </c>
      <c r="J109" s="13"/>
      <c r="L109" s="2"/>
    </row>
    <row r="110" spans="1:12" ht="18.75" x14ac:dyDescent="0.25">
      <c r="A110" s="80" t="s">
        <v>91</v>
      </c>
      <c r="B110" s="81"/>
      <c r="C110" s="81"/>
      <c r="D110" s="81"/>
      <c r="E110" s="81"/>
      <c r="F110" s="81"/>
      <c r="G110" s="82"/>
      <c r="H110" s="12"/>
      <c r="I110" s="5"/>
      <c r="J110" s="5"/>
      <c r="L110" s="2"/>
    </row>
    <row r="111" spans="1:12" ht="18.75" x14ac:dyDescent="0.25">
      <c r="A111" s="53"/>
      <c r="B111" s="54"/>
      <c r="C111" s="54"/>
      <c r="D111" s="36" t="s">
        <v>182</v>
      </c>
      <c r="E111" s="55"/>
      <c r="F111" s="55"/>
      <c r="G111" s="55" t="s">
        <v>31</v>
      </c>
      <c r="H111" s="14"/>
      <c r="I111" s="61"/>
      <c r="J111" s="13"/>
      <c r="L111" s="2"/>
    </row>
    <row r="112" spans="1:12" ht="18.75" x14ac:dyDescent="0.25">
      <c r="A112" s="26"/>
      <c r="B112" s="27"/>
      <c r="C112" s="27"/>
      <c r="D112" s="36" t="s">
        <v>171</v>
      </c>
      <c r="E112" s="41"/>
      <c r="F112" s="41"/>
      <c r="G112" s="38" t="s">
        <v>172</v>
      </c>
      <c r="H112" s="44"/>
      <c r="I112" s="62"/>
      <c r="J112" s="13"/>
      <c r="L112" s="2"/>
    </row>
    <row r="113" spans="1:12" ht="63" x14ac:dyDescent="0.25">
      <c r="A113" s="9" t="s">
        <v>89</v>
      </c>
      <c r="B113" s="22"/>
      <c r="C113" s="22"/>
      <c r="D113" s="23" t="s">
        <v>119</v>
      </c>
      <c r="E113" s="37">
        <v>903</v>
      </c>
      <c r="F113" s="13">
        <v>903</v>
      </c>
      <c r="G113" s="31" t="s">
        <v>90</v>
      </c>
      <c r="H113" s="31">
        <v>4.8</v>
      </c>
      <c r="I113" s="13">
        <f>F113*H113*12</f>
        <v>52012.799999999996</v>
      </c>
      <c r="J113" s="13" t="s">
        <v>117</v>
      </c>
      <c r="L113" s="2"/>
    </row>
    <row r="114" spans="1:12" ht="18.75" x14ac:dyDescent="0.25">
      <c r="A114" s="46"/>
      <c r="B114" s="22"/>
      <c r="C114" s="22"/>
      <c r="D114" s="30"/>
      <c r="E114" s="48"/>
      <c r="F114" s="49"/>
      <c r="G114" s="31"/>
      <c r="H114" s="31"/>
      <c r="I114" s="13">
        <f>SUM(I111:I113)</f>
        <v>52012.799999999996</v>
      </c>
      <c r="J114" s="13"/>
      <c r="L114" s="2"/>
    </row>
    <row r="115" spans="1:12" ht="18.75" x14ac:dyDescent="0.3">
      <c r="A115" s="73" t="s">
        <v>79</v>
      </c>
      <c r="B115" s="74"/>
      <c r="C115" s="74"/>
      <c r="D115" s="74"/>
      <c r="E115" s="74"/>
      <c r="F115" s="74"/>
      <c r="G115" s="75"/>
      <c r="H115" s="19"/>
      <c r="I115" s="5"/>
      <c r="J115" s="5"/>
      <c r="L115" s="2"/>
    </row>
    <row r="116" spans="1:12" ht="46.5" customHeight="1" x14ac:dyDescent="0.3">
      <c r="A116" s="34" t="s">
        <v>134</v>
      </c>
      <c r="B116" s="24"/>
      <c r="C116" s="24"/>
      <c r="D116" s="35" t="s">
        <v>133</v>
      </c>
      <c r="E116" s="13">
        <v>370</v>
      </c>
      <c r="F116" s="13">
        <v>370</v>
      </c>
      <c r="G116" s="13" t="s">
        <v>141</v>
      </c>
      <c r="H116" s="13">
        <v>13</v>
      </c>
      <c r="I116" s="13">
        <f>F116*H116*3</f>
        <v>14430</v>
      </c>
      <c r="J116" s="13" t="s">
        <v>154</v>
      </c>
      <c r="L116" s="2"/>
    </row>
    <row r="117" spans="1:12" ht="18.75" x14ac:dyDescent="0.25">
      <c r="A117" s="9" t="s">
        <v>25</v>
      </c>
      <c r="B117" s="5"/>
      <c r="C117" s="4"/>
      <c r="D117" s="4" t="s">
        <v>75</v>
      </c>
      <c r="E117" s="41" t="s">
        <v>142</v>
      </c>
      <c r="F117" s="41" t="s">
        <v>142</v>
      </c>
      <c r="G117" s="14" t="s">
        <v>54</v>
      </c>
      <c r="H117" s="41" t="s">
        <v>142</v>
      </c>
      <c r="I117" s="41" t="s">
        <v>142</v>
      </c>
      <c r="J117" s="5"/>
      <c r="L117" s="2"/>
    </row>
    <row r="118" spans="1:12" ht="47.25" x14ac:dyDescent="0.25">
      <c r="A118" s="9" t="s">
        <v>26</v>
      </c>
      <c r="B118" s="5"/>
      <c r="C118" s="4"/>
      <c r="D118" s="15" t="s">
        <v>28</v>
      </c>
      <c r="E118" s="41" t="s">
        <v>142</v>
      </c>
      <c r="F118" s="41" t="s">
        <v>142</v>
      </c>
      <c r="G118" s="14" t="s">
        <v>54</v>
      </c>
      <c r="H118" s="41" t="s">
        <v>142</v>
      </c>
      <c r="I118" s="41" t="s">
        <v>142</v>
      </c>
      <c r="J118" s="5"/>
      <c r="L118" s="2"/>
    </row>
    <row r="119" spans="1:12" ht="31.5" x14ac:dyDescent="0.25">
      <c r="A119" s="9" t="s">
        <v>27</v>
      </c>
      <c r="B119" s="5"/>
      <c r="C119" s="4"/>
      <c r="D119" s="15" t="s">
        <v>74</v>
      </c>
      <c r="E119" s="41" t="s">
        <v>142</v>
      </c>
      <c r="F119" s="41" t="s">
        <v>142</v>
      </c>
      <c r="G119" s="14" t="s">
        <v>54</v>
      </c>
      <c r="H119" s="41" t="s">
        <v>142</v>
      </c>
      <c r="I119" s="41" t="s">
        <v>142</v>
      </c>
      <c r="J119" s="5"/>
      <c r="L119" s="2"/>
    </row>
    <row r="120" spans="1:12" ht="18.75" x14ac:dyDescent="0.25">
      <c r="A120" s="46"/>
      <c r="B120" s="22"/>
      <c r="C120" s="22"/>
      <c r="D120" s="30"/>
      <c r="E120" s="45"/>
      <c r="F120" s="45"/>
      <c r="G120" s="12"/>
      <c r="H120" s="51"/>
      <c r="I120" s="51">
        <f>SUM(I116:I119)</f>
        <v>14430</v>
      </c>
      <c r="J120" s="5"/>
      <c r="L120" s="2"/>
    </row>
    <row r="121" spans="1:12" ht="18.75" x14ac:dyDescent="0.3">
      <c r="A121" s="73" t="s">
        <v>84</v>
      </c>
      <c r="B121" s="74"/>
      <c r="C121" s="74"/>
      <c r="D121" s="74"/>
      <c r="E121" s="74"/>
      <c r="F121" s="74"/>
      <c r="G121" s="75"/>
      <c r="H121" s="25"/>
      <c r="I121" s="25"/>
      <c r="J121" s="25"/>
      <c r="K121" s="2"/>
      <c r="L121" s="2"/>
    </row>
    <row r="122" spans="1:12" ht="48" x14ac:dyDescent="0.3">
      <c r="A122" s="6" t="s">
        <v>66</v>
      </c>
      <c r="B122" s="6"/>
      <c r="C122" s="4"/>
      <c r="D122" s="15" t="s">
        <v>85</v>
      </c>
      <c r="E122" s="41" t="s">
        <v>142</v>
      </c>
      <c r="F122" s="41" t="s">
        <v>142</v>
      </c>
      <c r="G122" s="13" t="s">
        <v>30</v>
      </c>
      <c r="H122" s="41" t="s">
        <v>142</v>
      </c>
      <c r="I122" s="41" t="s">
        <v>142</v>
      </c>
      <c r="J122" s="5"/>
      <c r="L122" s="2"/>
    </row>
    <row r="123" spans="1:12" ht="32.25" x14ac:dyDescent="0.3">
      <c r="A123" s="28"/>
      <c r="B123" s="29"/>
      <c r="C123" s="22"/>
      <c r="D123" s="30" t="s">
        <v>110</v>
      </c>
      <c r="E123" s="41" t="s">
        <v>142</v>
      </c>
      <c r="F123" s="41" t="s">
        <v>142</v>
      </c>
      <c r="G123" s="13" t="s">
        <v>111</v>
      </c>
      <c r="H123" s="41" t="s">
        <v>142</v>
      </c>
      <c r="I123" s="41" t="s">
        <v>142</v>
      </c>
      <c r="J123" s="39"/>
      <c r="L123" s="2"/>
    </row>
    <row r="124" spans="1:12" ht="18.75" x14ac:dyDescent="0.3">
      <c r="A124" s="28"/>
      <c r="B124" s="29"/>
      <c r="C124" s="22"/>
      <c r="D124" s="30"/>
      <c r="E124" s="45"/>
      <c r="F124" s="45"/>
      <c r="G124" s="31"/>
      <c r="H124" s="45"/>
      <c r="I124" s="45"/>
      <c r="J124" s="50"/>
      <c r="L124" s="2"/>
    </row>
    <row r="125" spans="1:12" ht="18.75" x14ac:dyDescent="0.3">
      <c r="A125" s="73" t="s">
        <v>99</v>
      </c>
      <c r="B125" s="74"/>
      <c r="C125" s="74"/>
      <c r="D125" s="74"/>
      <c r="E125" s="74"/>
      <c r="F125" s="74"/>
      <c r="G125" s="75"/>
      <c r="H125" s="73"/>
      <c r="I125" s="74"/>
      <c r="J125" s="74"/>
      <c r="L125" s="2"/>
    </row>
    <row r="126" spans="1:12" ht="32.25" x14ac:dyDescent="0.3">
      <c r="A126" s="34" t="s">
        <v>153</v>
      </c>
      <c r="B126" s="24"/>
      <c r="C126" s="24"/>
      <c r="D126" s="40" t="s">
        <v>136</v>
      </c>
      <c r="E126" s="13"/>
      <c r="F126" s="13"/>
      <c r="G126" s="13" t="s">
        <v>137</v>
      </c>
      <c r="H126" s="13"/>
      <c r="I126" s="59"/>
      <c r="J126" s="13"/>
      <c r="L126" s="2"/>
    </row>
    <row r="127" spans="1:12" ht="48" x14ac:dyDescent="0.3">
      <c r="A127" s="24"/>
      <c r="B127" s="24"/>
      <c r="C127" s="24"/>
      <c r="D127" s="40" t="s">
        <v>138</v>
      </c>
      <c r="E127" s="41"/>
      <c r="F127" s="41">
        <f>140+60</f>
        <v>200</v>
      </c>
      <c r="G127" s="13" t="s">
        <v>139</v>
      </c>
      <c r="H127" s="44">
        <f>(98000+42000)/F127</f>
        <v>700</v>
      </c>
      <c r="I127" s="60">
        <f>F127*H127</f>
        <v>140000</v>
      </c>
      <c r="J127" s="13" t="s">
        <v>126</v>
      </c>
      <c r="L127" s="2"/>
    </row>
    <row r="128" spans="1:12" ht="32.25" x14ac:dyDescent="0.3">
      <c r="A128" s="24"/>
      <c r="B128" s="24"/>
      <c r="C128" s="24"/>
      <c r="D128" s="40" t="s">
        <v>164</v>
      </c>
      <c r="E128" s="13"/>
      <c r="F128" s="13">
        <f>120+720+180+30</f>
        <v>1050</v>
      </c>
      <c r="G128" s="13" t="s">
        <v>140</v>
      </c>
      <c r="H128" s="33">
        <f>(5500+32998+8249+1375)/F128</f>
        <v>45.83047619047619</v>
      </c>
      <c r="I128" s="59">
        <f t="shared" ref="I128:I129" si="11">F128*H128</f>
        <v>48122</v>
      </c>
      <c r="J128" s="13" t="s">
        <v>126</v>
      </c>
      <c r="L128" s="2"/>
    </row>
    <row r="129" spans="1:12" ht="32.25" x14ac:dyDescent="0.3">
      <c r="A129" s="34" t="s">
        <v>153</v>
      </c>
      <c r="B129" s="14"/>
      <c r="C129" s="14"/>
      <c r="D129" s="40" t="s">
        <v>165</v>
      </c>
      <c r="E129" s="13"/>
      <c r="F129" s="13">
        <f>210</f>
        <v>210</v>
      </c>
      <c r="G129" s="13" t="s">
        <v>140</v>
      </c>
      <c r="H129" s="33">
        <f>9624/F129</f>
        <v>45.828571428571429</v>
      </c>
      <c r="I129" s="59">
        <f t="shared" si="11"/>
        <v>9624</v>
      </c>
      <c r="J129" s="13" t="s">
        <v>126</v>
      </c>
      <c r="L129" s="2"/>
    </row>
    <row r="130" spans="1:12" ht="18.75" x14ac:dyDescent="0.3">
      <c r="A130" s="34"/>
      <c r="B130" s="14"/>
      <c r="C130" s="14"/>
      <c r="D130" s="43" t="s">
        <v>168</v>
      </c>
      <c r="E130" s="41" t="s">
        <v>142</v>
      </c>
      <c r="F130" s="41">
        <f>1</f>
        <v>1</v>
      </c>
      <c r="G130" s="38" t="s">
        <v>31</v>
      </c>
      <c r="H130" s="41">
        <f>2</f>
        <v>2</v>
      </c>
      <c r="I130" s="56">
        <f>3080</f>
        <v>3080</v>
      </c>
      <c r="J130" s="14" t="s">
        <v>167</v>
      </c>
      <c r="L130" s="2"/>
    </row>
    <row r="131" spans="1:12" ht="18.75" x14ac:dyDescent="0.3">
      <c r="A131" s="34"/>
      <c r="B131" s="14"/>
      <c r="C131" s="14"/>
      <c r="D131" s="43" t="s">
        <v>203</v>
      </c>
      <c r="E131" s="41"/>
      <c r="F131" s="41">
        <v>330</v>
      </c>
      <c r="G131" s="38" t="s">
        <v>114</v>
      </c>
      <c r="H131" s="44">
        <f>6188/F131</f>
        <v>18.75151515151515</v>
      </c>
      <c r="I131" s="56">
        <f>F131*H131</f>
        <v>6188</v>
      </c>
      <c r="J131" s="14" t="s">
        <v>122</v>
      </c>
      <c r="L131" s="2"/>
    </row>
    <row r="132" spans="1:12" ht="47.25" x14ac:dyDescent="0.3">
      <c r="A132" s="34" t="s">
        <v>176</v>
      </c>
      <c r="B132" s="14"/>
      <c r="C132" s="14"/>
      <c r="D132" s="43" t="s">
        <v>177</v>
      </c>
      <c r="E132" s="41"/>
      <c r="F132" s="41"/>
      <c r="G132" s="38" t="s">
        <v>114</v>
      </c>
      <c r="H132" s="44"/>
      <c r="I132" s="56"/>
      <c r="J132" s="14"/>
      <c r="L132" s="2"/>
    </row>
    <row r="133" spans="1:12" ht="18.75" x14ac:dyDescent="0.3">
      <c r="A133" s="34" t="s">
        <v>178</v>
      </c>
      <c r="B133" s="14"/>
      <c r="C133" s="14"/>
      <c r="D133" s="43" t="s">
        <v>179</v>
      </c>
      <c r="E133" s="41"/>
      <c r="F133" s="41"/>
      <c r="G133" s="38" t="s">
        <v>152</v>
      </c>
      <c r="H133" s="44"/>
      <c r="I133" s="56">
        <f t="shared" ref="I133" si="12">F133*H133</f>
        <v>0</v>
      </c>
      <c r="J133" s="41" t="s">
        <v>118</v>
      </c>
      <c r="L133" s="2"/>
    </row>
    <row r="134" spans="1:12" ht="18.75" x14ac:dyDescent="0.3">
      <c r="A134" s="34"/>
      <c r="B134" s="14"/>
      <c r="C134" s="14"/>
      <c r="D134" s="43" t="s">
        <v>180</v>
      </c>
      <c r="E134" s="41"/>
      <c r="F134" s="41"/>
      <c r="G134" s="38" t="s">
        <v>150</v>
      </c>
      <c r="H134" s="44"/>
      <c r="I134" s="56">
        <f>F134*H134</f>
        <v>0</v>
      </c>
      <c r="J134" s="41" t="s">
        <v>118</v>
      </c>
      <c r="L134" s="2"/>
    </row>
    <row r="135" spans="1:12" ht="31.5" x14ac:dyDescent="0.3">
      <c r="A135" s="34"/>
      <c r="B135" s="14"/>
      <c r="C135" s="14"/>
      <c r="D135" s="43" t="s">
        <v>181</v>
      </c>
      <c r="E135" s="41"/>
      <c r="F135" s="41">
        <v>2.2999999999999998</v>
      </c>
      <c r="G135" s="38" t="s">
        <v>114</v>
      </c>
      <c r="H135" s="44">
        <f>5530.4/F135</f>
        <v>2404.521739130435</v>
      </c>
      <c r="I135" s="56">
        <f t="shared" ref="I135:I136" si="13">F135*H135</f>
        <v>5530.4</v>
      </c>
      <c r="J135" s="14" t="s">
        <v>118</v>
      </c>
      <c r="L135" s="2"/>
    </row>
    <row r="136" spans="1:12" ht="47.25" x14ac:dyDescent="0.3">
      <c r="A136" s="34"/>
      <c r="B136" s="14"/>
      <c r="C136" s="14"/>
      <c r="D136" s="43" t="s">
        <v>194</v>
      </c>
      <c r="E136" s="41"/>
      <c r="F136" s="41">
        <v>2.2999999999999998</v>
      </c>
      <c r="G136" s="38" t="s">
        <v>114</v>
      </c>
      <c r="H136" s="44">
        <f>340.6/F136</f>
        <v>148.08695652173915</v>
      </c>
      <c r="I136" s="56">
        <f t="shared" si="13"/>
        <v>340.6</v>
      </c>
      <c r="J136" s="14" t="s">
        <v>118</v>
      </c>
      <c r="L136" s="2"/>
    </row>
    <row r="137" spans="1:12" ht="18.75" x14ac:dyDescent="0.3">
      <c r="A137" s="34"/>
      <c r="B137" s="14"/>
      <c r="C137" s="14"/>
      <c r="D137" s="43" t="s">
        <v>183</v>
      </c>
      <c r="E137" s="41"/>
      <c r="F137" s="41">
        <v>1</v>
      </c>
      <c r="G137" s="38" t="s">
        <v>31</v>
      </c>
      <c r="H137" s="41"/>
      <c r="I137" s="56">
        <f>F137*H137</f>
        <v>0</v>
      </c>
      <c r="J137" s="14" t="s">
        <v>118</v>
      </c>
      <c r="L137" s="2"/>
    </row>
    <row r="138" spans="1:12" ht="18.75" x14ac:dyDescent="0.3">
      <c r="A138" s="34" t="s">
        <v>153</v>
      </c>
      <c r="B138" s="14"/>
      <c r="C138" s="14"/>
      <c r="D138" s="43" t="s">
        <v>173</v>
      </c>
      <c r="E138" s="41"/>
      <c r="F138" s="41">
        <v>8</v>
      </c>
      <c r="G138" s="38" t="s">
        <v>31</v>
      </c>
      <c r="H138" s="41"/>
      <c r="I138" s="56">
        <f t="shared" ref="I138" si="14">F138*H138</f>
        <v>0</v>
      </c>
      <c r="J138" s="14" t="s">
        <v>124</v>
      </c>
      <c r="L138" s="2"/>
    </row>
    <row r="139" spans="1:12" ht="31.5" x14ac:dyDescent="0.25">
      <c r="A139" s="25" t="s">
        <v>209</v>
      </c>
      <c r="B139" s="25"/>
      <c r="C139" s="25"/>
      <c r="D139" s="43" t="s">
        <v>210</v>
      </c>
      <c r="E139" s="41" t="s">
        <v>142</v>
      </c>
      <c r="F139" s="41">
        <v>7.5</v>
      </c>
      <c r="G139" s="38" t="s">
        <v>114</v>
      </c>
      <c r="H139" s="44">
        <f>4827.4/F139</f>
        <v>643.65333333333331</v>
      </c>
      <c r="I139" s="56">
        <f>F139*H139</f>
        <v>4827.3999999999996</v>
      </c>
      <c r="J139" s="14" t="s">
        <v>124</v>
      </c>
      <c r="K139" s="2"/>
      <c r="L139" s="2"/>
    </row>
    <row r="140" spans="1:12" ht="31.5" x14ac:dyDescent="0.25">
      <c r="A140" s="25"/>
      <c r="B140" s="25"/>
      <c r="C140" s="25"/>
      <c r="D140" s="43" t="s">
        <v>211</v>
      </c>
      <c r="E140" s="41"/>
      <c r="F140" s="41">
        <v>14.4</v>
      </c>
      <c r="G140" s="38" t="s">
        <v>152</v>
      </c>
      <c r="H140" s="44">
        <f>5614.6/F140</f>
        <v>389.90277777777777</v>
      </c>
      <c r="I140" s="56">
        <f>F140*H140</f>
        <v>5614.6</v>
      </c>
      <c r="J140" s="14" t="s">
        <v>124</v>
      </c>
      <c r="K140" s="2"/>
      <c r="L140" s="2"/>
    </row>
    <row r="141" spans="1:12" ht="15.75" x14ac:dyDescent="0.25">
      <c r="A141" s="25"/>
      <c r="B141" s="25"/>
      <c r="C141" s="25"/>
      <c r="D141" s="43"/>
      <c r="E141" s="41"/>
      <c r="F141" s="41"/>
      <c r="G141" s="38"/>
      <c r="H141" s="41"/>
      <c r="I141" s="44">
        <f>SUM(I126:I140)</f>
        <v>223327</v>
      </c>
      <c r="J141" s="14"/>
      <c r="K141" s="2"/>
      <c r="L141" s="2"/>
    </row>
    <row r="142" spans="1:12" ht="15.75" x14ac:dyDescent="0.25">
      <c r="A142" s="52" t="s">
        <v>184</v>
      </c>
      <c r="B142" s="25"/>
      <c r="C142" s="25"/>
      <c r="D142" s="43"/>
      <c r="E142" s="51"/>
      <c r="F142" s="51"/>
      <c r="G142" s="38"/>
      <c r="H142" s="51"/>
      <c r="I142" s="65">
        <f>I6+I7+I26+I27+I28+I29+I30+I31+I42+I43+I44+I45+I46+I47+I48+I49+I50+I51+I54+I57+I58+I59+I69+I70+I71+I72+I79+I80+I93+I94+I97+I102+I105+I126+I127+I128+I129+I130+I131+I132+I133+I134+I135+I136+I137+I138+I139+I140</f>
        <v>1580458.6</v>
      </c>
      <c r="J142" s="14"/>
      <c r="K142" s="64"/>
      <c r="L142" s="63"/>
    </row>
    <row r="143" spans="1:12" ht="15.75" x14ac:dyDescent="0.25">
      <c r="A143" s="52" t="s">
        <v>163</v>
      </c>
      <c r="B143" s="25"/>
      <c r="C143" s="25"/>
      <c r="D143" s="43"/>
      <c r="E143" s="51"/>
      <c r="F143" s="51"/>
      <c r="G143" s="38"/>
      <c r="H143" s="51"/>
      <c r="I143" s="65">
        <f>I16+I39+I63+I76+I83+I90+I99+I109+I114+I120+I141</f>
        <v>1971625.8000000003</v>
      </c>
      <c r="J143" s="14"/>
      <c r="K143" s="2"/>
      <c r="L143" s="2"/>
    </row>
    <row r="144" spans="1:12" ht="99.75" customHeight="1" x14ac:dyDescent="0.25">
      <c r="A144" s="70" t="s">
        <v>106</v>
      </c>
      <c r="B144" s="70"/>
      <c r="C144" s="70"/>
      <c r="D144" s="70"/>
      <c r="E144" s="70"/>
      <c r="F144" s="70"/>
      <c r="G144" s="70"/>
      <c r="H144" s="70"/>
      <c r="I144" s="70"/>
      <c r="J144" s="70"/>
      <c r="K144" s="2"/>
      <c r="L144" s="2"/>
    </row>
    <row r="145" spans="1:12" ht="15.75" x14ac:dyDescent="0.25">
      <c r="A145" s="2"/>
      <c r="B145" s="2"/>
      <c r="C145" s="2"/>
      <c r="D145" s="16"/>
      <c r="E145" s="16"/>
      <c r="F145" s="83"/>
      <c r="G145" s="84"/>
      <c r="H145" s="83"/>
      <c r="I145" s="83"/>
      <c r="J145" s="2"/>
      <c r="K145" s="2"/>
      <c r="L145" s="2"/>
    </row>
    <row r="146" spans="1:12" ht="15.75" x14ac:dyDescent="0.25">
      <c r="A146" s="2"/>
      <c r="B146" s="2"/>
      <c r="C146" s="2"/>
      <c r="D146" s="16"/>
      <c r="E146" s="16"/>
      <c r="F146" s="83"/>
      <c r="G146" s="84"/>
      <c r="H146" s="83"/>
      <c r="I146" s="84"/>
      <c r="J146" s="2"/>
      <c r="K146" s="2"/>
      <c r="L146" s="2"/>
    </row>
    <row r="147" spans="1:12" ht="15.75" x14ac:dyDescent="0.25">
      <c r="A147" s="2"/>
      <c r="B147" s="2"/>
      <c r="C147" s="2"/>
      <c r="D147" s="16"/>
      <c r="E147" s="16"/>
      <c r="F147" s="83"/>
      <c r="G147" s="83"/>
      <c r="H147" s="83"/>
      <c r="I147" s="83"/>
      <c r="J147" s="63"/>
      <c r="K147" s="2"/>
      <c r="L147" s="2"/>
    </row>
    <row r="148" spans="1:12" ht="15.75" x14ac:dyDescent="0.25">
      <c r="A148" s="2"/>
      <c r="B148" s="2"/>
      <c r="C148" s="2"/>
      <c r="D148" s="16"/>
      <c r="E148" s="16"/>
      <c r="F148" s="83"/>
      <c r="G148" s="83"/>
      <c r="H148" s="83"/>
      <c r="I148" s="83"/>
      <c r="J148" s="2"/>
      <c r="K148" s="2"/>
      <c r="L148" s="2"/>
    </row>
    <row r="149" spans="1:12" ht="15.75" x14ac:dyDescent="0.25">
      <c r="A149" s="2"/>
      <c r="B149" s="2"/>
      <c r="C149" s="2"/>
      <c r="D149" s="16"/>
      <c r="E149" s="16"/>
      <c r="F149" s="83"/>
      <c r="G149" s="83"/>
      <c r="H149" s="83"/>
      <c r="I149" s="83"/>
      <c r="J149" s="2"/>
      <c r="K149" s="2"/>
      <c r="L149" s="2"/>
    </row>
    <row r="150" spans="1:12" ht="15.75" x14ac:dyDescent="0.25">
      <c r="A150" s="2"/>
      <c r="B150" s="2"/>
      <c r="C150" s="2"/>
      <c r="D150" s="16"/>
      <c r="E150" s="16"/>
      <c r="F150" s="83"/>
      <c r="G150" s="83"/>
      <c r="H150" s="83"/>
      <c r="I150" s="83"/>
      <c r="J150" s="2"/>
      <c r="K150" s="2"/>
      <c r="L150" s="2"/>
    </row>
    <row r="151" spans="1:12" ht="15.75" x14ac:dyDescent="0.25">
      <c r="A151" s="2"/>
      <c r="B151" s="2"/>
      <c r="C151" s="2"/>
      <c r="D151" s="16"/>
      <c r="E151" s="16"/>
      <c r="F151" s="2"/>
      <c r="G151" s="2"/>
      <c r="H151" s="2"/>
      <c r="I151" s="2"/>
      <c r="J151" s="2"/>
      <c r="K151" s="2"/>
      <c r="L151" s="2"/>
    </row>
    <row r="152" spans="1:12" ht="15.75" x14ac:dyDescent="0.25">
      <c r="A152" s="2"/>
      <c r="B152" s="2"/>
      <c r="C152" s="2"/>
      <c r="D152" s="16"/>
      <c r="E152" s="16"/>
      <c r="F152" s="2"/>
      <c r="G152" s="2"/>
      <c r="H152" s="2"/>
      <c r="I152" s="2"/>
      <c r="J152" s="2"/>
      <c r="K152" s="2"/>
      <c r="L152" s="2"/>
    </row>
    <row r="153" spans="1:12" ht="15.75" x14ac:dyDescent="0.25">
      <c r="A153" s="2"/>
      <c r="B153" s="2"/>
      <c r="C153" s="2"/>
      <c r="D153" s="16"/>
      <c r="E153" s="16"/>
      <c r="F153" s="2"/>
      <c r="G153" s="2"/>
      <c r="H153" s="2"/>
      <c r="I153" s="2"/>
      <c r="J153" s="2"/>
      <c r="K153" s="2"/>
      <c r="L153" s="2"/>
    </row>
    <row r="154" spans="1:12" ht="15.75" x14ac:dyDescent="0.25">
      <c r="A154" s="2"/>
      <c r="B154" s="2"/>
      <c r="C154" s="2"/>
      <c r="D154" s="16"/>
      <c r="E154" s="16"/>
      <c r="F154" s="2"/>
      <c r="G154" s="2"/>
      <c r="H154" s="2"/>
      <c r="I154" s="2"/>
      <c r="J154" s="2"/>
      <c r="K154" s="2"/>
      <c r="L154" s="2"/>
    </row>
    <row r="155" spans="1:12" ht="15.75" x14ac:dyDescent="0.25">
      <c r="A155" s="2"/>
      <c r="B155" s="2"/>
      <c r="C155" s="2"/>
      <c r="D155" s="16"/>
      <c r="E155" s="16"/>
      <c r="F155" s="2"/>
      <c r="G155" s="2"/>
      <c r="H155" s="2"/>
      <c r="I155" s="2"/>
      <c r="J155" s="2"/>
      <c r="K155" s="2"/>
      <c r="L155" s="2"/>
    </row>
    <row r="156" spans="1:12" ht="15.75" x14ac:dyDescent="0.25">
      <c r="A156" s="2"/>
      <c r="B156" s="2"/>
      <c r="C156" s="2"/>
      <c r="D156" s="16"/>
      <c r="E156" s="16"/>
      <c r="F156" s="2"/>
      <c r="G156" s="2"/>
      <c r="H156" s="2"/>
      <c r="I156" s="2"/>
      <c r="J156" s="2"/>
      <c r="K156" s="2"/>
      <c r="L156" s="2"/>
    </row>
    <row r="157" spans="1:12" ht="15.75" x14ac:dyDescent="0.25">
      <c r="A157" s="2"/>
      <c r="B157" s="2"/>
      <c r="C157" s="2"/>
      <c r="D157" s="16"/>
      <c r="E157" s="16"/>
      <c r="F157" s="2"/>
      <c r="G157" s="2"/>
      <c r="H157" s="2"/>
      <c r="I157" s="2"/>
      <c r="J157" s="2"/>
      <c r="K157" s="2"/>
      <c r="L157" s="2"/>
    </row>
    <row r="158" spans="1:12" ht="15.75" x14ac:dyDescent="0.25">
      <c r="A158" s="2"/>
      <c r="B158" s="2"/>
      <c r="C158" s="2"/>
      <c r="D158" s="16"/>
      <c r="E158" s="16"/>
      <c r="F158" s="2"/>
      <c r="G158" s="2"/>
      <c r="H158" s="2"/>
      <c r="I158" s="2"/>
      <c r="J158" s="2"/>
      <c r="K158" s="2"/>
      <c r="L158" s="2"/>
    </row>
    <row r="159" spans="1:12" ht="15.75" x14ac:dyDescent="0.25">
      <c r="A159" s="2"/>
      <c r="B159" s="2"/>
      <c r="C159" s="2"/>
      <c r="D159" s="16"/>
      <c r="E159" s="16"/>
      <c r="F159" s="2"/>
      <c r="G159" s="2"/>
      <c r="H159" s="2"/>
      <c r="I159" s="2"/>
      <c r="J159" s="2"/>
      <c r="K159" s="2"/>
      <c r="L159" s="2"/>
    </row>
    <row r="160" spans="1:12" ht="15.75" x14ac:dyDescent="0.25">
      <c r="A160" s="2"/>
      <c r="B160" s="2"/>
      <c r="C160" s="2"/>
      <c r="D160" s="16"/>
      <c r="E160" s="16"/>
      <c r="F160" s="2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16"/>
      <c r="E161" s="16"/>
      <c r="F161" s="2"/>
      <c r="G161" s="2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16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</sheetData>
  <mergeCells count="16">
    <mergeCell ref="A144:J144"/>
    <mergeCell ref="A2:J2"/>
    <mergeCell ref="A125:G125"/>
    <mergeCell ref="H125:J125"/>
    <mergeCell ref="I1:J1"/>
    <mergeCell ref="A84:G84"/>
    <mergeCell ref="A100:G100"/>
    <mergeCell ref="A121:G121"/>
    <mergeCell ref="A40:G40"/>
    <mergeCell ref="A17:G17"/>
    <mergeCell ref="A4:G4"/>
    <mergeCell ref="A110:G110"/>
    <mergeCell ref="A64:G64"/>
    <mergeCell ref="A77:G77"/>
    <mergeCell ref="A91:G91"/>
    <mergeCell ref="A115:G115"/>
  </mergeCells>
  <pageMargins left="0.78740157480314965" right="0.70866141732283472" top="0" bottom="0.59055118110236227" header="0" footer="0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2025-01-28T13:43:59Z</cp:lastPrinted>
  <dcterms:created xsi:type="dcterms:W3CDTF">2017-05-29T12:14:13Z</dcterms:created>
  <dcterms:modified xsi:type="dcterms:W3CDTF">2025-03-14T04:40:16Z</dcterms:modified>
</cp:coreProperties>
</file>