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4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0" i="1" l="1"/>
  <c r="F8" i="1" l="1"/>
  <c r="H8" i="1" s="1"/>
  <c r="F159" i="1"/>
  <c r="H159" i="1" s="1"/>
  <c r="F101" i="1"/>
  <c r="H101" i="1" s="1"/>
  <c r="F100" i="1"/>
  <c r="H100" i="1" s="1"/>
  <c r="F99" i="1"/>
  <c r="H99" i="1" s="1"/>
  <c r="F94" i="1"/>
  <c r="H94" i="1" s="1"/>
  <c r="F97" i="1"/>
  <c r="H97" i="1" s="1"/>
  <c r="F115" i="1"/>
  <c r="H115" i="1" s="1"/>
  <c r="F128" i="1"/>
  <c r="H128" i="1" s="1"/>
  <c r="F130" i="1"/>
  <c r="H130" i="1" s="1"/>
  <c r="F140" i="1"/>
  <c r="H140" i="1" s="1"/>
  <c r="I115" i="1" l="1"/>
  <c r="I97" i="1"/>
  <c r="H47" i="1"/>
  <c r="F44" i="1"/>
  <c r="H44" i="1" s="1"/>
  <c r="F121" i="1"/>
  <c r="H121" i="1" s="1"/>
  <c r="F124" i="1"/>
  <c r="H124" i="1" s="1"/>
  <c r="H118" i="1"/>
  <c r="I118" i="1" s="1"/>
  <c r="F117" i="1"/>
  <c r="H117" i="1" s="1"/>
  <c r="F116" i="1"/>
  <c r="H116" i="1" s="1"/>
  <c r="F107" i="1"/>
  <c r="H107" i="1" s="1"/>
  <c r="I44" i="1" l="1"/>
  <c r="I117" i="1"/>
  <c r="I121" i="1"/>
  <c r="F46" i="1"/>
  <c r="H46" i="1" s="1"/>
  <c r="F162" i="1"/>
  <c r="H162" i="1" s="1"/>
  <c r="F23" i="1" l="1"/>
  <c r="H23" i="1" s="1"/>
  <c r="F22" i="1"/>
  <c r="H22" i="1" s="1"/>
  <c r="F164" i="1"/>
  <c r="H164" i="1" s="1"/>
  <c r="F106" i="1"/>
  <c r="H106" i="1" s="1"/>
  <c r="F85" i="1"/>
  <c r="H85" i="1" s="1"/>
  <c r="F84" i="1"/>
  <c r="H84" i="1" s="1"/>
  <c r="I84" i="1" s="1"/>
  <c r="F87" i="1"/>
  <c r="H87" i="1" s="1"/>
  <c r="F86" i="1"/>
  <c r="H86" i="1" s="1"/>
  <c r="F81" i="1"/>
  <c r="H81" i="1" s="1"/>
  <c r="F91" i="1"/>
  <c r="H91" i="1" s="1"/>
  <c r="F88" i="1"/>
  <c r="H88" i="1" s="1"/>
  <c r="F89" i="1"/>
  <c r="H89" i="1" s="1"/>
  <c r="I23" i="1" l="1"/>
  <c r="I22" i="1"/>
  <c r="I89" i="1"/>
  <c r="I85" i="1"/>
  <c r="H42" i="1"/>
  <c r="H43" i="1"/>
  <c r="F79" i="1"/>
  <c r="H79" i="1" s="1"/>
  <c r="F138" i="1"/>
  <c r="H138" i="1" s="1"/>
  <c r="H78" i="1"/>
  <c r="H77" i="1"/>
  <c r="F30" i="1" l="1"/>
  <c r="H30" i="1" s="1"/>
  <c r="F98" i="1"/>
  <c r="H98" i="1" s="1"/>
  <c r="F102" i="1"/>
  <c r="F103" i="1"/>
  <c r="H103" i="1" s="1"/>
  <c r="H163" i="1"/>
  <c r="F111" i="1"/>
  <c r="F110" i="1"/>
  <c r="H110" i="1" s="1"/>
  <c r="F109" i="1"/>
  <c r="H109" i="1" s="1"/>
  <c r="F108" i="1"/>
  <c r="H108" i="1" s="1"/>
  <c r="F80" i="1"/>
  <c r="H80" i="1" s="1"/>
  <c r="F104" i="1"/>
  <c r="H104" i="1" s="1"/>
  <c r="I108" i="1" l="1"/>
  <c r="H102" i="1"/>
  <c r="I102" i="1" s="1"/>
  <c r="I109" i="1"/>
  <c r="H111" i="1"/>
  <c r="I111" i="1" s="1"/>
  <c r="I103" i="1"/>
  <c r="I30" i="1"/>
  <c r="I110" i="1"/>
  <c r="I88" i="1"/>
  <c r="H165" i="1" l="1"/>
  <c r="I165" i="1" s="1"/>
  <c r="H161" i="1"/>
  <c r="F29" i="1"/>
  <c r="H29" i="1" s="1"/>
  <c r="I104" i="1"/>
  <c r="F158" i="1"/>
  <c r="H158" i="1" s="1"/>
  <c r="H168" i="1"/>
  <c r="H167" i="1"/>
  <c r="I167" i="1" s="1"/>
  <c r="F6" i="1"/>
  <c r="H6" i="1" s="1"/>
  <c r="H129" i="1"/>
  <c r="H120" i="1"/>
  <c r="H119" i="1"/>
  <c r="I87" i="1"/>
  <c r="I86" i="1"/>
  <c r="H83" i="1"/>
  <c r="I83" i="1" s="1"/>
  <c r="H82" i="1"/>
  <c r="I82" i="1" s="1"/>
  <c r="I81" i="1"/>
  <c r="F136" i="1"/>
  <c r="H136" i="1" s="1"/>
  <c r="H166" i="1"/>
  <c r="H59" i="1"/>
  <c r="I59" i="1" s="1"/>
  <c r="I29" i="1" l="1"/>
  <c r="I136" i="1"/>
  <c r="F52" i="1"/>
  <c r="H52" i="1" s="1"/>
  <c r="F157" i="1"/>
  <c r="H157" i="1" s="1"/>
  <c r="F160" i="1"/>
  <c r="H160" i="1" s="1"/>
  <c r="F137" i="1"/>
  <c r="H137" i="1" s="1"/>
  <c r="F48" i="1"/>
  <c r="H48" i="1" s="1"/>
  <c r="F54" i="1"/>
  <c r="F56" i="1"/>
  <c r="H56" i="1" s="1"/>
  <c r="H61" i="1"/>
  <c r="F153" i="1"/>
  <c r="H153" i="1" s="1"/>
  <c r="F49" i="1"/>
  <c r="H49" i="1" s="1"/>
  <c r="F55" i="1"/>
  <c r="H55" i="1" s="1"/>
  <c r="H58" i="1"/>
  <c r="I58" i="1" s="1"/>
  <c r="F57" i="1"/>
  <c r="H57" i="1" s="1"/>
  <c r="H69" i="1"/>
  <c r="I69" i="1" s="1"/>
  <c r="F68" i="1"/>
  <c r="H68" i="1" s="1"/>
  <c r="F62" i="1"/>
  <c r="H62" i="1" s="1"/>
  <c r="I62" i="1" l="1"/>
  <c r="I68" i="1"/>
  <c r="I55" i="1"/>
  <c r="H54" i="1"/>
  <c r="I54" i="1" s="1"/>
  <c r="I57" i="1"/>
  <c r="I49" i="1"/>
  <c r="I56" i="1"/>
  <c r="I48" i="1"/>
  <c r="F41" i="1"/>
  <c r="I6" i="1"/>
  <c r="F63" i="1"/>
  <c r="H63" i="1" s="1"/>
  <c r="I63" i="1" s="1"/>
  <c r="I7" i="1"/>
  <c r="I8" i="1"/>
  <c r="I137" i="1"/>
  <c r="F122" i="1"/>
  <c r="I124" i="1"/>
  <c r="H122" i="1" l="1"/>
  <c r="I122" i="1" s="1"/>
  <c r="H41" i="1"/>
  <c r="I41" i="1" s="1"/>
  <c r="I17" i="1"/>
  <c r="F50" i="1"/>
  <c r="I42" i="1" l="1"/>
  <c r="I80" i="1"/>
  <c r="I94" i="1"/>
  <c r="F143" i="1"/>
  <c r="I153" i="1" l="1"/>
  <c r="I168" i="1"/>
  <c r="I166" i="1"/>
  <c r="I106" i="1" l="1"/>
  <c r="I164" i="1"/>
  <c r="F45" i="1"/>
  <c r="H45" i="1" s="1"/>
  <c r="I45" i="1" l="1"/>
  <c r="I101" i="1"/>
  <c r="I99" i="1"/>
  <c r="I61" i="1" l="1"/>
  <c r="I100" i="1"/>
  <c r="I160" i="1" l="1"/>
  <c r="F76" i="1"/>
  <c r="H76" i="1" s="1"/>
  <c r="I158" i="1"/>
  <c r="I157" i="1"/>
  <c r="I129" i="1" l="1"/>
  <c r="I159" i="1"/>
  <c r="I43" i="1" l="1"/>
  <c r="I163" i="1"/>
  <c r="I162" i="1"/>
  <c r="I161" i="1"/>
  <c r="I47" i="1"/>
  <c r="I50" i="1"/>
  <c r="I120" i="1"/>
  <c r="I119" i="1"/>
  <c r="I107" i="1"/>
  <c r="I91" i="1"/>
  <c r="I130" i="1"/>
  <c r="I128" i="1"/>
  <c r="I154" i="1"/>
  <c r="I155" i="1" s="1"/>
  <c r="I169" i="1" l="1"/>
  <c r="I132" i="1"/>
  <c r="I116" i="1"/>
  <c r="I126" i="1" l="1"/>
  <c r="I46" i="1"/>
  <c r="I52" i="1"/>
  <c r="I143" i="1"/>
  <c r="I76" i="1"/>
  <c r="I79" i="1"/>
  <c r="I78" i="1"/>
  <c r="I77" i="1"/>
  <c r="I73" i="1" l="1"/>
  <c r="I38" i="1"/>
  <c r="I95" i="1"/>
  <c r="I98" i="1" l="1"/>
  <c r="I113" i="1" l="1"/>
  <c r="I140" i="1"/>
  <c r="I138" i="1" l="1"/>
  <c r="I141" i="1" s="1"/>
  <c r="I147" i="1" l="1"/>
  <c r="I151" i="1" s="1"/>
  <c r="I144" i="1"/>
  <c r="I145" i="1" s="1"/>
  <c r="I171" i="1" l="1"/>
</calcChain>
</file>

<file path=xl/sharedStrings.xml><?xml version="1.0" encoding="utf-8"?>
<sst xmlns="http://schemas.openxmlformats.org/spreadsheetml/2006/main" count="631" uniqueCount="236">
  <si>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</si>
  <si>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</si>
  <si>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</si>
  <si>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</si>
  <si>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</si>
  <si>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</si>
  <si>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</si>
  <si>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</si>
  <si>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</si>
  <si>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</si>
  <si>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</si>
  <si>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</si>
  <si>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</si>
  <si>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</si>
  <si>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</si>
  <si>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</si>
  <si>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</si>
  <si>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</si>
  <si>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</si>
  <si>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</si>
  <si>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</si>
  <si>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</si>
  <si>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</si>
  <si>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</si>
  <si>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</si>
  <si>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</si>
  <si>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</si>
  <si>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</si>
  <si>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</si>
  <si>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</si>
  <si>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</si>
  <si>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</si>
  <si>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</si>
  <si>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</si>
  <si>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</si>
  <si>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</si>
  <si>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</si>
  <si>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</si>
  <si>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</si>
  <si>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</si>
  <si>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</si>
  <si>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</si>
  <si>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</si>
  <si>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</si>
  <si>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</si>
  <si>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</si>
  <si>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</si>
  <si>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</si>
  <si>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</si>
  <si>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</si>
  <si>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</si>
  <si>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</si>
  <si>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</si>
  <si>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</si>
  <si>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</si>
  <si>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</si>
  <si>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</si>
  <si>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</si>
  <si>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</si>
  <si>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</si>
  <si>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</si>
  <si>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</si>
  <si>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</si>
  <si>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</si>
  <si>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</si>
  <si>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</si>
  <si>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</si>
  <si>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</si>
  <si>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</si>
  <si>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</si>
  <si>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</si>
  <si>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</si>
  <si>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</si>
  <si>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</si>
  <si>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</si>
  <si>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</si>
  <si>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</si>
  <si>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</si>
  <si>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</si>
  <si>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</si>
  <si>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</si>
  <si>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</si>
  <si>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</si>
  <si>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</si>
  <si>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</si>
  <si>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</si>
  <si>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</si>
  <si>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</si>
  <si>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</si>
  <si>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</si>
  <si>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</si>
  <si>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</si>
  <si>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</si>
  <si>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</si>
  <si>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</si>
  <si>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</si>
  <si>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</si>
  <si>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</si>
  <si>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</si>
  <si>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</si>
  <si>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</si>
  <si>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</si>
  <si>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</si>
  <si>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</si>
  <si>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</si>
  <si>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</si>
  <si>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</si>
  <si>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</si>
  <si>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</si>
  <si>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</si>
  <si>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</si>
  <si>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</si>
  <si>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</si>
  <si>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</si>
  <si>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</si>
  <si>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</si>
  <si>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</si>
  <si>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</si>
  <si>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</si>
  <si>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</si>
  <si>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</si>
  <si>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</si>
  <si>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</si>
  <si>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</si>
  <si>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</si>
  <si>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</si>
  <si>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</si>
  <si>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</si>
  <si>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</si>
  <si>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</si>
  <si>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</si>
  <si>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</si>
  <si>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</si>
  <si>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</si>
  <si>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</si>
  <si>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</si>
  <si>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</si>
  <si>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</si>
  <si>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</si>
  <si>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</si>
  <si>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</si>
  <si>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</si>
  <si>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</si>
  <si>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</si>
  <si>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</si>
  <si>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</si>
  <si>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</si>
  <si>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</si>
  <si>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</si>
  <si>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контейнеров ТКО-0,4м3 с крышкой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</si>
  <si>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</si>
  <si>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</si>
  <si>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</si>
  <si>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смена вентилей и клапанов обратных муфтовых диам. до 20мм</t>
  </si>
  <si>
    <t>усиление сварных швов наплавкой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</si>
  <si>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</si>
  <si>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</si>
  <si>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</si>
  <si>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</si>
  <si>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</si>
  <si>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</si>
  <si>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 xml:space="preserve"> смена кранов на шаровые краны диам.15,20,25мм</t>
  </si>
  <si>
    <t>врезка в действующие сети трубопроводов отопления и водоснабжения диам. 25мм</t>
  </si>
  <si>
    <t>м шва</t>
  </si>
  <si>
    <t>1,2,3 квартал</t>
  </si>
  <si>
    <t>врезка в действующие сети трубопроводов отопления и водоснабжения диам. 32мм</t>
  </si>
  <si>
    <t>ремонт и окраска дверей (восстановление фурнитуры и остекления)ушки</t>
  </si>
  <si>
    <t>смена стекол толщиной 2-3 мм площадью до 0,25м2</t>
  </si>
  <si>
    <t>ремонт и восстановление уплотнения стыков прокладками ПРП в 1 ряд в дверных блоках насухо</t>
  </si>
  <si>
    <t>смена дверных приборов:ручки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</si>
  <si>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</si>
  <si>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улучшенная масляная окраска ранее окрашенных стен за 2 раза с расчисткой старой краски до 10%(сапожок)</t>
  </si>
  <si>
    <t>окраска масляными составами ранее окрашенных больших металлических поверхностей(кроме крыш) за 2 раза</t>
  </si>
  <si>
    <t>ремонт штукатурки откосов внутри здания по камню и бетону раствором прямолинейных</t>
  </si>
  <si>
    <t>окраска водно-дисперсионными акриловыми составами улучшенная по штукатурке потолков</t>
  </si>
  <si>
    <t>демонтаж почтовых ящиков</t>
  </si>
  <si>
    <t>установка ящиков почтовых стальных,окрашенных эмалью с крепление к стенам лестничных клеток</t>
  </si>
  <si>
    <t>короба пластмассовые шириной до 40мм</t>
  </si>
  <si>
    <t>смена ламп накаливания</t>
  </si>
  <si>
    <t>смена задвижек диам. 50мм на шаровые краны</t>
  </si>
  <si>
    <t>ремонт и окраска окон (восстановление фурнитуры и остекления) фрамужные приборы</t>
  </si>
  <si>
    <t>устройство покрытий из тротуарной плитки</t>
  </si>
  <si>
    <t>ремонт бетонных ступеней</t>
  </si>
  <si>
    <t xml:space="preserve">окраска водно-дисперсионными акриловыми составами улучшенная по штукатурке стен </t>
  </si>
  <si>
    <t>1 заплата</t>
  </si>
  <si>
    <t>Всего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</si>
  <si>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</si>
  <si>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</si>
  <si>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</si>
  <si>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изготовление демонтаж и монтаж металлических дверей</t>
  </si>
  <si>
    <t>смена внутренних трубопроводов из стальных труб диам. 80мм</t>
  </si>
  <si>
    <t>1  квартал</t>
  </si>
  <si>
    <t xml:space="preserve">смена досок на скамейках </t>
  </si>
  <si>
    <t>установка шайб диаметром трубопроводов до 100мм</t>
  </si>
  <si>
    <t>установка столбов металлических</t>
  </si>
  <si>
    <t>смена филенок в дверных полотнах</t>
  </si>
  <si>
    <t>прочистка фильтров диам. 150мм</t>
  </si>
  <si>
    <t>демонтаж,поверка, монтаж ОДПУ</t>
  </si>
  <si>
    <t>компл</t>
  </si>
  <si>
    <t xml:space="preserve">устройство временных защитных ограждений </t>
  </si>
  <si>
    <t xml:space="preserve"> </t>
  </si>
  <si>
    <t>прокладка внутренних трубопроводов водоснабжения и отопления из полипропиленовых труб:диам. 32мм</t>
  </si>
  <si>
    <t>устройство покрытий из керамогранитных плиток размером 30х30см</t>
  </si>
  <si>
    <t>смена дверных приборов:шпингалеты</t>
  </si>
  <si>
    <t>Текущий ремонт</t>
  </si>
  <si>
    <t xml:space="preserve">
Отчет о выполнении работ по текущему ремонту общего имущества 
в многоквартирном доме по адресу: г.Щёлково, ул.Заречная , дом 4  на 2024 г.
</t>
  </si>
  <si>
    <t xml:space="preserve"> смена кранов на шаровые краны диам.15мм</t>
  </si>
  <si>
    <t>разборка покрытий полов из керамической плитки</t>
  </si>
  <si>
    <t>очистка вручную поверхности потолков от перхлорвиниловых и масляных красок с земли и лесов</t>
  </si>
  <si>
    <t>очистка вручную поверхности стен от перхлорвиниловых и масляных красок с земли и лесов</t>
  </si>
  <si>
    <t xml:space="preserve"> 1 квартал</t>
  </si>
  <si>
    <t>улучшенная масляная окраска ранее окрашенных дверей за 2 раза с расчисткой старой краски до 10%</t>
  </si>
  <si>
    <t>окраска масляными составами ранее окрашенных металлических оешеток и оград за 2 раза</t>
  </si>
  <si>
    <t>улучшенная масляная окраска ранее окрашенных стен за один раз с расчисткой старой краски до 10%</t>
  </si>
  <si>
    <t>облицовка стен глухих(без проемов по металлическому одинарному каркасу оцинкованными листами</t>
  </si>
  <si>
    <t>коврик ячеистый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</si>
  <si>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</si>
  <si>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</si>
  <si>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из стальных труб диам 80мм</t>
  </si>
  <si>
    <t>рытье ям для установки стоек и столбов</t>
  </si>
  <si>
    <t>ям</t>
  </si>
  <si>
    <t>прочистка фильтров диам. 50мм</t>
  </si>
  <si>
    <t>демонтаж фильтров диам. 50мм</t>
  </si>
  <si>
    <t>монтаж фильтров диам. 50мм</t>
  </si>
  <si>
    <t>демонтаж фильтров диам. 80мм</t>
  </si>
  <si>
    <t>монтаж фильтров диам. 80мм</t>
  </si>
  <si>
    <t>вывоз веток, листвы и порубочных остатков</t>
  </si>
  <si>
    <t xml:space="preserve"> смена вентилей диам. 20 ,32мм</t>
  </si>
  <si>
    <t>валка деревьев с разделкой на корню и вывозом контейнером</t>
  </si>
  <si>
    <t xml:space="preserve">установка металлических дверей </t>
  </si>
  <si>
    <t>дезинсекция подвала  от блох</t>
  </si>
  <si>
    <t>улучшенная масляная окраска ранее окрашенных фасадов с расчисткой старой краски до 35% с земли и лесов</t>
  </si>
  <si>
    <t>ремонт кровельного покрытия подъезда №5</t>
  </si>
  <si>
    <t>смена дверных приборов:пружины</t>
  </si>
  <si>
    <t xml:space="preserve">смена обделок из листовой стали 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</si>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</sst>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topLeftCell="D170" zoomScale="91" zoomScaleNormal="91" workbookViewId="0">
      <selection activeCell="N168" sqref="N16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97</v>
      </c>
      <c r="J1" s="72"/>
    </row>
    <row r="2" spans="1:12" ht="70.5" customHeight="1" x14ac:dyDescent="0.25">
      <c r="A2" s="67" t="s">
        <v>205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75" x14ac:dyDescent="0.25">
      <c r="A3" s="20" t="s">
        <v>83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82</v>
      </c>
      <c r="H3" s="21" t="s">
        <v>81</v>
      </c>
      <c r="I3" s="21" t="s">
        <v>101</v>
      </c>
      <c r="J3" s="21" t="s">
        <v>103</v>
      </c>
      <c r="K3" s="2"/>
      <c r="L3" s="2"/>
    </row>
    <row r="4" spans="1:12" ht="18.75" x14ac:dyDescent="0.3">
      <c r="A4" s="73" t="s">
        <v>89</v>
      </c>
      <c r="B4" s="74"/>
      <c r="C4" s="74"/>
      <c r="D4" s="74"/>
      <c r="E4" s="74"/>
      <c r="F4" s="74"/>
      <c r="G4" s="75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123</v>
      </c>
      <c r="E5" s="41"/>
      <c r="F5" s="41"/>
      <c r="G5" s="13" t="s">
        <v>113</v>
      </c>
      <c r="H5" s="56"/>
      <c r="I5" s="41"/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1"/>
      <c r="F6" s="41">
        <f>20+32+95</f>
        <v>147</v>
      </c>
      <c r="G6" s="13" t="s">
        <v>113</v>
      </c>
      <c r="H6" s="44">
        <f>(704+366.2+1128+585.4+3350.2+1734.8)/F6</f>
        <v>53.52789115646258</v>
      </c>
      <c r="I6" s="55">
        <f>F6*H6</f>
        <v>7868.5999999999995</v>
      </c>
      <c r="J6" s="13" t="s">
        <v>121</v>
      </c>
      <c r="K6" s="2"/>
      <c r="L6" s="2"/>
    </row>
    <row r="7" spans="1:12" ht="18.75" x14ac:dyDescent="0.3">
      <c r="A7" s="6"/>
      <c r="B7" s="5"/>
      <c r="C7" s="4"/>
      <c r="D7" s="15" t="s">
        <v>232</v>
      </c>
      <c r="E7" s="41"/>
      <c r="F7" s="41">
        <v>1</v>
      </c>
      <c r="G7" s="13" t="s">
        <v>143</v>
      </c>
      <c r="H7" s="41">
        <v>483457</v>
      </c>
      <c r="I7" s="55">
        <f>F7*H7</f>
        <v>483457</v>
      </c>
      <c r="J7" s="13" t="s">
        <v>121</v>
      </c>
      <c r="K7" s="2"/>
      <c r="L7" s="2"/>
    </row>
    <row r="8" spans="1:12" ht="18.75" x14ac:dyDescent="0.3">
      <c r="A8" s="6"/>
      <c r="B8" s="5"/>
      <c r="C8" s="4"/>
      <c r="D8" s="15" t="s">
        <v>234</v>
      </c>
      <c r="E8" s="41"/>
      <c r="F8" s="41">
        <f>4</f>
        <v>4</v>
      </c>
      <c r="G8" s="13" t="s">
        <v>235</v>
      </c>
      <c r="H8" s="41">
        <f>3001.2/F8</f>
        <v>750.3</v>
      </c>
      <c r="I8" s="55">
        <f>F8*H8</f>
        <v>3001.2</v>
      </c>
      <c r="J8" s="13" t="s">
        <v>121</v>
      </c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152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1"/>
      <c r="F11" s="41"/>
      <c r="G11" s="13" t="s">
        <v>184</v>
      </c>
      <c r="H11" s="41"/>
      <c r="I11" s="41"/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139</v>
      </c>
      <c r="F12" s="41" t="s">
        <v>139</v>
      </c>
      <c r="G12" s="13" t="s">
        <v>30</v>
      </c>
      <c r="H12" s="41" t="s">
        <v>139</v>
      </c>
      <c r="I12" s="41" t="s">
        <v>139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88</v>
      </c>
      <c r="E13" s="41" t="s">
        <v>139</v>
      </c>
      <c r="F13" s="41" t="s">
        <v>139</v>
      </c>
      <c r="G13" s="13" t="s">
        <v>31</v>
      </c>
      <c r="H13" s="41" t="s">
        <v>139</v>
      </c>
      <c r="I13" s="41" t="s">
        <v>139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139</v>
      </c>
      <c r="F14" s="41" t="s">
        <v>139</v>
      </c>
      <c r="G14" s="14" t="s">
        <v>31</v>
      </c>
      <c r="H14" s="41" t="s">
        <v>139</v>
      </c>
      <c r="I14" s="41" t="s">
        <v>139</v>
      </c>
      <c r="J14" s="13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139</v>
      </c>
      <c r="F15" s="41" t="s">
        <v>139</v>
      </c>
      <c r="G15" s="13" t="s">
        <v>30</v>
      </c>
      <c r="H15" s="41" t="s">
        <v>139</v>
      </c>
      <c r="I15" s="41" t="s">
        <v>139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45"/>
      <c r="F17" s="45"/>
      <c r="G17" s="31"/>
      <c r="H17" s="41"/>
      <c r="I17" s="44">
        <f>SUM(I5:I16)</f>
        <v>494326.8</v>
      </c>
      <c r="J17" s="13"/>
      <c r="K17" s="2"/>
      <c r="L17" s="2"/>
    </row>
    <row r="18" spans="1:12" ht="18.75" x14ac:dyDescent="0.3">
      <c r="A18" s="73" t="s">
        <v>57</v>
      </c>
      <c r="B18" s="74"/>
      <c r="C18" s="74"/>
      <c r="D18" s="74"/>
      <c r="E18" s="74"/>
      <c r="F18" s="74"/>
      <c r="G18" s="75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96</v>
      </c>
      <c r="E19" s="41" t="s">
        <v>139</v>
      </c>
      <c r="F19" s="41" t="s">
        <v>139</v>
      </c>
      <c r="G19" s="14" t="s">
        <v>55</v>
      </c>
      <c r="H19" s="41" t="s">
        <v>139</v>
      </c>
      <c r="I19" s="41" t="s">
        <v>139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139</v>
      </c>
      <c r="F20" s="41" t="s">
        <v>139</v>
      </c>
      <c r="G20" s="14" t="s">
        <v>54</v>
      </c>
      <c r="H20" s="41" t="s">
        <v>139</v>
      </c>
      <c r="I20" s="41" t="s">
        <v>139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139</v>
      </c>
      <c r="F21" s="41" t="s">
        <v>139</v>
      </c>
      <c r="G21" s="14" t="s">
        <v>54</v>
      </c>
      <c r="H21" s="41" t="s">
        <v>139</v>
      </c>
      <c r="I21" s="41" t="s">
        <v>139</v>
      </c>
      <c r="J21" s="13"/>
      <c r="K21" s="2"/>
      <c r="L21" s="2"/>
    </row>
    <row r="22" spans="1:12" ht="32.25" x14ac:dyDescent="0.3">
      <c r="A22" s="6"/>
      <c r="B22" s="5"/>
      <c r="C22" s="4"/>
      <c r="D22" s="15" t="s">
        <v>155</v>
      </c>
      <c r="E22" s="41" t="s">
        <v>139</v>
      </c>
      <c r="F22" s="41">
        <f>32.346</f>
        <v>32.345999999999997</v>
      </c>
      <c r="G22" s="14" t="s">
        <v>91</v>
      </c>
      <c r="H22" s="44">
        <f>36827.2/F22</f>
        <v>1138.5395412106598</v>
      </c>
      <c r="I22" s="63">
        <f>F22*H22</f>
        <v>36827.199999999997</v>
      </c>
      <c r="J22" s="13" t="s">
        <v>118</v>
      </c>
      <c r="K22" s="2"/>
      <c r="L22" s="2"/>
    </row>
    <row r="23" spans="1:12" ht="48" x14ac:dyDescent="0.3">
      <c r="A23" s="6"/>
      <c r="B23" s="5"/>
      <c r="C23" s="4"/>
      <c r="D23" s="15" t="s">
        <v>231</v>
      </c>
      <c r="E23" s="41"/>
      <c r="F23" s="41">
        <f>107.82</f>
        <v>107.82</v>
      </c>
      <c r="G23" s="14" t="s">
        <v>113</v>
      </c>
      <c r="H23" s="44">
        <f>62237/F23</f>
        <v>577.23056946763131</v>
      </c>
      <c r="I23" s="63">
        <f>F23*H23</f>
        <v>62237.000000000007</v>
      </c>
      <c r="J23" s="13" t="s">
        <v>118</v>
      </c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 t="s">
        <v>139</v>
      </c>
      <c r="F24" s="41" t="s">
        <v>139</v>
      </c>
      <c r="G24" s="14" t="s">
        <v>54</v>
      </c>
      <c r="H24" s="41" t="s">
        <v>139</v>
      </c>
      <c r="I24" s="41" t="s">
        <v>139</v>
      </c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1" t="s">
        <v>139</v>
      </c>
      <c r="F25" s="41" t="s">
        <v>139</v>
      </c>
      <c r="G25" s="14" t="s">
        <v>54</v>
      </c>
      <c r="H25" s="41" t="s">
        <v>139</v>
      </c>
      <c r="I25" s="41" t="s">
        <v>139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144</v>
      </c>
      <c r="E26" s="41" t="s">
        <v>139</v>
      </c>
      <c r="F26" s="41" t="s">
        <v>139</v>
      </c>
      <c r="G26" s="14" t="s">
        <v>145</v>
      </c>
      <c r="H26" s="41" t="s">
        <v>139</v>
      </c>
      <c r="I26" s="41" t="s">
        <v>139</v>
      </c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1" t="s">
        <v>139</v>
      </c>
      <c r="F27" s="41" t="s">
        <v>139</v>
      </c>
      <c r="G27" s="13" t="s">
        <v>30</v>
      </c>
      <c r="H27" s="41" t="s">
        <v>139</v>
      </c>
      <c r="I27" s="41" t="s">
        <v>139</v>
      </c>
      <c r="J27" s="13"/>
      <c r="K27" s="2"/>
      <c r="L27" s="2"/>
    </row>
    <row r="28" spans="1:12" ht="24.75" customHeight="1" x14ac:dyDescent="0.3">
      <c r="A28" s="6" t="s">
        <v>12</v>
      </c>
      <c r="B28" s="5"/>
      <c r="C28" s="4"/>
      <c r="D28" s="15" t="s">
        <v>41</v>
      </c>
      <c r="E28" s="41" t="s">
        <v>139</v>
      </c>
      <c r="F28" s="41" t="s">
        <v>139</v>
      </c>
      <c r="G28" s="14" t="s">
        <v>136</v>
      </c>
      <c r="H28" s="41" t="s">
        <v>139</v>
      </c>
      <c r="I28" s="41" t="s">
        <v>139</v>
      </c>
      <c r="J28" s="13"/>
      <c r="K28" s="2"/>
      <c r="L28" s="2"/>
    </row>
    <row r="29" spans="1:12" ht="24.75" customHeight="1" x14ac:dyDescent="0.3">
      <c r="A29" s="6"/>
      <c r="B29" s="5"/>
      <c r="C29" s="4"/>
      <c r="D29" s="15" t="s">
        <v>181</v>
      </c>
      <c r="E29" s="41"/>
      <c r="F29" s="41">
        <f>0.72</f>
        <v>0.72</v>
      </c>
      <c r="G29" s="14" t="s">
        <v>113</v>
      </c>
      <c r="H29" s="44">
        <f>1905.6/F29</f>
        <v>2646.6666666666665</v>
      </c>
      <c r="I29" s="63">
        <f>F29*H29</f>
        <v>1905.6</v>
      </c>
      <c r="J29" s="13" t="s">
        <v>122</v>
      </c>
      <c r="K29" s="2"/>
      <c r="L29" s="2"/>
    </row>
    <row r="30" spans="1:12" ht="24.75" customHeight="1" x14ac:dyDescent="0.3">
      <c r="A30" s="6"/>
      <c r="B30" s="5"/>
      <c r="C30" s="4"/>
      <c r="D30" s="15" t="s">
        <v>182</v>
      </c>
      <c r="E30" s="41"/>
      <c r="F30" s="41">
        <f>2</f>
        <v>2</v>
      </c>
      <c r="G30" s="14" t="s">
        <v>31</v>
      </c>
      <c r="H30" s="41">
        <f>2236.8/F30</f>
        <v>1118.4000000000001</v>
      </c>
      <c r="I30" s="57">
        <f>F30*H30</f>
        <v>2236.8000000000002</v>
      </c>
      <c r="J30" s="13" t="s">
        <v>118</v>
      </c>
      <c r="K30" s="2"/>
      <c r="L30" s="2"/>
    </row>
    <row r="31" spans="1:12" ht="18.75" x14ac:dyDescent="0.3">
      <c r="A31" s="6" t="s">
        <v>56</v>
      </c>
      <c r="B31" s="5"/>
      <c r="C31" s="4"/>
      <c r="D31" s="15" t="s">
        <v>140</v>
      </c>
      <c r="E31" s="41"/>
      <c r="F31" s="41" t="s">
        <v>139</v>
      </c>
      <c r="G31" s="14" t="s">
        <v>30</v>
      </c>
      <c r="H31" s="41" t="s">
        <v>139</v>
      </c>
      <c r="I31" s="41" t="s">
        <v>139</v>
      </c>
      <c r="J31" s="13"/>
      <c r="L31" s="2"/>
    </row>
    <row r="32" spans="1:12" ht="32.25" x14ac:dyDescent="0.3">
      <c r="A32" s="6" t="s">
        <v>58</v>
      </c>
      <c r="B32" s="5"/>
      <c r="C32" s="4"/>
      <c r="D32" s="15" t="s">
        <v>95</v>
      </c>
      <c r="E32" s="41" t="s">
        <v>139</v>
      </c>
      <c r="F32" s="41" t="s">
        <v>139</v>
      </c>
      <c r="G32" s="14" t="s">
        <v>54</v>
      </c>
      <c r="H32" s="41" t="s">
        <v>139</v>
      </c>
      <c r="I32" s="41" t="s">
        <v>139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94</v>
      </c>
      <c r="E33" s="41" t="s">
        <v>139</v>
      </c>
      <c r="F33" s="41" t="s">
        <v>139</v>
      </c>
      <c r="G33" s="14" t="s">
        <v>55</v>
      </c>
      <c r="H33" s="41" t="s">
        <v>139</v>
      </c>
      <c r="I33" s="41" t="s">
        <v>139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1" t="s">
        <v>139</v>
      </c>
      <c r="F34" s="41" t="s">
        <v>139</v>
      </c>
      <c r="G34" s="14" t="s">
        <v>55</v>
      </c>
      <c r="H34" s="41" t="s">
        <v>139</v>
      </c>
      <c r="I34" s="41" t="s">
        <v>139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1" t="s">
        <v>139</v>
      </c>
      <c r="F35" s="41" t="s">
        <v>139</v>
      </c>
      <c r="G35" s="14" t="s">
        <v>54</v>
      </c>
      <c r="H35" s="41" t="s">
        <v>139</v>
      </c>
      <c r="I35" s="41" t="s">
        <v>139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1" t="s">
        <v>139</v>
      </c>
      <c r="F36" s="41" t="s">
        <v>139</v>
      </c>
      <c r="G36" s="13" t="s">
        <v>30</v>
      </c>
      <c r="H36" s="41" t="s">
        <v>139</v>
      </c>
      <c r="I36" s="41" t="s">
        <v>139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1" t="s">
        <v>139</v>
      </c>
      <c r="F37" s="41" t="s">
        <v>139</v>
      </c>
      <c r="G37" s="14" t="s">
        <v>55</v>
      </c>
      <c r="H37" s="41" t="s">
        <v>139</v>
      </c>
      <c r="I37" s="41" t="s">
        <v>139</v>
      </c>
      <c r="J37" s="13"/>
      <c r="L37" s="2"/>
    </row>
    <row r="38" spans="1:12" ht="18.75" x14ac:dyDescent="0.3">
      <c r="A38" s="28"/>
      <c r="B38" s="22"/>
      <c r="C38" s="22"/>
      <c r="D38" s="22"/>
      <c r="E38" s="45"/>
      <c r="F38" s="45"/>
      <c r="G38" s="12"/>
      <c r="H38" s="41"/>
      <c r="I38" s="41">
        <f>SUM(I29:I37)</f>
        <v>4142.3999999999996</v>
      </c>
      <c r="J38" s="13"/>
      <c r="L38" s="2"/>
    </row>
    <row r="39" spans="1:12" ht="24" customHeight="1" x14ac:dyDescent="0.3">
      <c r="A39" s="73" t="s">
        <v>87</v>
      </c>
      <c r="B39" s="74"/>
      <c r="C39" s="74"/>
      <c r="D39" s="74"/>
      <c r="E39" s="74"/>
      <c r="F39" s="74"/>
      <c r="G39" s="75"/>
      <c r="H39" s="14"/>
      <c r="I39" s="5"/>
      <c r="J39" s="13"/>
      <c r="L39" s="2"/>
    </row>
    <row r="40" spans="1:12" ht="32.25" customHeight="1" x14ac:dyDescent="0.3">
      <c r="A40" s="6" t="s">
        <v>50</v>
      </c>
      <c r="B40" s="5"/>
      <c r="C40" s="4"/>
      <c r="D40" s="15" t="s">
        <v>166</v>
      </c>
      <c r="E40" s="41" t="s">
        <v>139</v>
      </c>
      <c r="F40" s="41" t="s">
        <v>139</v>
      </c>
      <c r="G40" s="38" t="s">
        <v>31</v>
      </c>
      <c r="H40" s="41" t="s">
        <v>139</v>
      </c>
      <c r="I40" s="41" t="s">
        <v>139</v>
      </c>
      <c r="J40" s="13"/>
      <c r="L40" s="2"/>
    </row>
    <row r="41" spans="1:12" ht="32.25" customHeight="1" x14ac:dyDescent="0.3">
      <c r="A41" s="6"/>
      <c r="B41" s="5"/>
      <c r="C41" s="4"/>
      <c r="D41" s="15" t="s">
        <v>203</v>
      </c>
      <c r="E41" s="41" t="s">
        <v>139</v>
      </c>
      <c r="F41" s="41">
        <f>2</f>
        <v>2</v>
      </c>
      <c r="G41" s="13" t="s">
        <v>31</v>
      </c>
      <c r="H41" s="41">
        <f>3102.8/F41</f>
        <v>1551.4</v>
      </c>
      <c r="I41" s="55">
        <f>F41*H41</f>
        <v>3102.8</v>
      </c>
      <c r="J41" s="13" t="s">
        <v>121</v>
      </c>
      <c r="L41" s="2"/>
    </row>
    <row r="42" spans="1:12" ht="32.25" customHeight="1" x14ac:dyDescent="0.3">
      <c r="A42" s="6"/>
      <c r="B42" s="5"/>
      <c r="C42" s="4"/>
      <c r="D42" s="15" t="s">
        <v>229</v>
      </c>
      <c r="E42" s="41" t="s">
        <v>139</v>
      </c>
      <c r="F42" s="41">
        <v>2.2999999999999998</v>
      </c>
      <c r="G42" s="13" t="s">
        <v>113</v>
      </c>
      <c r="H42" s="44">
        <f>5427.6/F42</f>
        <v>2359.826086956522</v>
      </c>
      <c r="I42" s="55">
        <f>F42*H42</f>
        <v>5427.6</v>
      </c>
      <c r="J42" s="13" t="s">
        <v>118</v>
      </c>
      <c r="L42" s="2"/>
    </row>
    <row r="43" spans="1:12" ht="32.25" customHeight="1" x14ac:dyDescent="0.3">
      <c r="A43" s="6"/>
      <c r="B43" s="5"/>
      <c r="C43" s="4"/>
      <c r="D43" s="15" t="s">
        <v>189</v>
      </c>
      <c r="E43" s="41"/>
      <c r="F43" s="41">
        <v>2.2999999999999998</v>
      </c>
      <c r="G43" s="13" t="s">
        <v>113</v>
      </c>
      <c r="H43" s="44">
        <f>5609.4/F43</f>
        <v>2438.8695652173915</v>
      </c>
      <c r="I43" s="55">
        <f>F43*H43</f>
        <v>5609.4</v>
      </c>
      <c r="J43" s="13" t="s">
        <v>121</v>
      </c>
      <c r="L43" s="2"/>
    </row>
    <row r="44" spans="1:12" ht="32.25" customHeight="1" x14ac:dyDescent="0.3">
      <c r="A44" s="6"/>
      <c r="B44" s="5"/>
      <c r="C44" s="4"/>
      <c r="D44" s="15" t="s">
        <v>169</v>
      </c>
      <c r="E44" s="41"/>
      <c r="F44" s="41">
        <f>1</f>
        <v>1</v>
      </c>
      <c r="G44" s="13" t="s">
        <v>31</v>
      </c>
      <c r="H44" s="41">
        <f>397.2/F44</f>
        <v>397.2</v>
      </c>
      <c r="I44" s="63">
        <f>F44*H44</f>
        <v>397.2</v>
      </c>
      <c r="J44" s="13" t="s">
        <v>121</v>
      </c>
      <c r="L44" s="2"/>
    </row>
    <row r="45" spans="1:12" ht="32.25" customHeight="1" x14ac:dyDescent="0.3">
      <c r="A45" s="6"/>
      <c r="B45" s="5"/>
      <c r="C45" s="4"/>
      <c r="D45" s="15" t="s">
        <v>233</v>
      </c>
      <c r="E45" s="41" t="s">
        <v>139</v>
      </c>
      <c r="F45" s="41">
        <f>1</f>
        <v>1</v>
      </c>
      <c r="G45" s="13" t="s">
        <v>31</v>
      </c>
      <c r="H45" s="41">
        <f>624.4/F45</f>
        <v>624.4</v>
      </c>
      <c r="I45" s="55">
        <f>F45*H45</f>
        <v>624.4</v>
      </c>
      <c r="J45" s="13" t="s">
        <v>122</v>
      </c>
      <c r="L45" s="2"/>
    </row>
    <row r="46" spans="1:12" ht="54.75" customHeight="1" x14ac:dyDescent="0.3">
      <c r="A46" s="6"/>
      <c r="B46" s="5"/>
      <c r="C46" s="4"/>
      <c r="D46" s="15" t="s">
        <v>168</v>
      </c>
      <c r="E46" s="41"/>
      <c r="F46" s="41">
        <f>6.5+7</f>
        <v>13.5</v>
      </c>
      <c r="G46" s="13" t="s">
        <v>146</v>
      </c>
      <c r="H46" s="44">
        <f>(1754.2+1896.6)/F46</f>
        <v>270.42962962962963</v>
      </c>
      <c r="I46" s="55">
        <f t="shared" ref="I46" si="0">F46*H46</f>
        <v>3650.8</v>
      </c>
      <c r="J46" s="13" t="s">
        <v>121</v>
      </c>
      <c r="L46" s="2"/>
    </row>
    <row r="47" spans="1:12" ht="32.25" customHeight="1" x14ac:dyDescent="0.3">
      <c r="A47" s="6"/>
      <c r="B47" s="5"/>
      <c r="C47" s="4"/>
      <c r="D47" s="15" t="s">
        <v>154</v>
      </c>
      <c r="E47" s="41"/>
      <c r="F47" s="41">
        <v>1.5</v>
      </c>
      <c r="G47" s="13" t="s">
        <v>163</v>
      </c>
      <c r="H47" s="44">
        <f>5503/F47</f>
        <v>3668.6666666666665</v>
      </c>
      <c r="I47" s="55">
        <f>F47*H47</f>
        <v>5503</v>
      </c>
      <c r="J47" s="13" t="s">
        <v>121</v>
      </c>
      <c r="L47" s="2"/>
    </row>
    <row r="48" spans="1:12" ht="32.25" customHeight="1" x14ac:dyDescent="0.3">
      <c r="A48" s="6"/>
      <c r="B48" s="5"/>
      <c r="C48" s="4"/>
      <c r="D48" s="15" t="s">
        <v>172</v>
      </c>
      <c r="E48" s="41" t="s">
        <v>139</v>
      </c>
      <c r="F48" s="41">
        <f>15.53+64.68</f>
        <v>80.210000000000008</v>
      </c>
      <c r="G48" s="13" t="s">
        <v>113</v>
      </c>
      <c r="H48" s="44">
        <f>(3223.6+13429.8)/F48</f>
        <v>207.62249096122673</v>
      </c>
      <c r="I48" s="63">
        <f>F48*H48</f>
        <v>16653.399999999998</v>
      </c>
      <c r="J48" s="13" t="s">
        <v>188</v>
      </c>
      <c r="L48" s="2"/>
    </row>
    <row r="49" spans="1:12" ht="49.5" customHeight="1" x14ac:dyDescent="0.3">
      <c r="A49" s="6"/>
      <c r="B49" s="5"/>
      <c r="C49" s="4"/>
      <c r="D49" s="15" t="s">
        <v>211</v>
      </c>
      <c r="E49" s="41"/>
      <c r="F49" s="41">
        <f>7</f>
        <v>7</v>
      </c>
      <c r="G49" s="13" t="s">
        <v>113</v>
      </c>
      <c r="H49" s="44">
        <f>3192.6/F49</f>
        <v>456.08571428571429</v>
      </c>
      <c r="I49" s="64">
        <f>F49*H49</f>
        <v>3192.6</v>
      </c>
      <c r="J49" s="13" t="s">
        <v>188</v>
      </c>
      <c r="L49" s="2"/>
    </row>
    <row r="50" spans="1:12" ht="49.5" customHeight="1" x14ac:dyDescent="0.3">
      <c r="A50" s="6"/>
      <c r="B50" s="5"/>
      <c r="C50" s="4"/>
      <c r="D50" s="15" t="s">
        <v>195</v>
      </c>
      <c r="E50" s="41"/>
      <c r="F50" s="41">
        <f>1+1</f>
        <v>2</v>
      </c>
      <c r="G50" s="13" t="s">
        <v>31</v>
      </c>
      <c r="H50" s="41"/>
      <c r="I50" s="57">
        <f t="shared" ref="I50" si="1">F50*H50</f>
        <v>0</v>
      </c>
      <c r="J50" s="13" t="s">
        <v>118</v>
      </c>
      <c r="L50" s="2"/>
    </row>
    <row r="51" spans="1:12" ht="32.25" x14ac:dyDescent="0.3">
      <c r="A51" s="6" t="s">
        <v>51</v>
      </c>
      <c r="B51" s="5"/>
      <c r="C51" s="4"/>
      <c r="D51" s="15" t="s">
        <v>180</v>
      </c>
      <c r="E51" s="41"/>
      <c r="F51" s="41"/>
      <c r="G51" s="13" t="s">
        <v>55</v>
      </c>
      <c r="H51" s="41"/>
      <c r="I51" s="41"/>
      <c r="J51" s="13"/>
      <c r="L51" s="2"/>
    </row>
    <row r="52" spans="1:12" ht="32.25" x14ac:dyDescent="0.3">
      <c r="A52" s="6"/>
      <c r="B52" s="5"/>
      <c r="C52" s="4"/>
      <c r="D52" s="15" t="s">
        <v>167</v>
      </c>
      <c r="E52" s="41"/>
      <c r="F52" s="41">
        <f>0.15</f>
        <v>0.15</v>
      </c>
      <c r="G52" s="13" t="s">
        <v>113</v>
      </c>
      <c r="H52" s="44">
        <f>595.8/F52</f>
        <v>3972</v>
      </c>
      <c r="I52" s="57">
        <f t="shared" ref="I52" si="2">F52*H52</f>
        <v>595.79999999999995</v>
      </c>
      <c r="J52" s="13" t="s">
        <v>121</v>
      </c>
      <c r="L52" s="2"/>
    </row>
    <row r="53" spans="1:12" ht="32.25" x14ac:dyDescent="0.3">
      <c r="A53" s="6" t="s">
        <v>60</v>
      </c>
      <c r="B53" s="8"/>
      <c r="C53" s="4"/>
      <c r="D53" s="15" t="s">
        <v>47</v>
      </c>
      <c r="E53" s="41" t="s">
        <v>139</v>
      </c>
      <c r="F53" s="41" t="s">
        <v>139</v>
      </c>
      <c r="G53" s="14" t="s">
        <v>54</v>
      </c>
      <c r="H53" s="41"/>
      <c r="I53" s="41"/>
      <c r="J53" s="13"/>
      <c r="L53" s="2"/>
    </row>
    <row r="54" spans="1:12" ht="48" x14ac:dyDescent="0.3">
      <c r="A54" s="6"/>
      <c r="B54" s="8"/>
      <c r="C54" s="4"/>
      <c r="D54" s="15" t="s">
        <v>213</v>
      </c>
      <c r="E54" s="41"/>
      <c r="F54" s="41">
        <f>7.12</f>
        <v>7.12</v>
      </c>
      <c r="G54" s="13" t="s">
        <v>113</v>
      </c>
      <c r="H54" s="44">
        <f>2303.8/F54</f>
        <v>323.56741573033707</v>
      </c>
      <c r="I54" s="63">
        <f t="shared" ref="I54:I59" si="3">F54*H54</f>
        <v>2303.8000000000002</v>
      </c>
      <c r="J54" s="13" t="s">
        <v>188</v>
      </c>
      <c r="L54" s="2"/>
    </row>
    <row r="55" spans="1:12" ht="48" x14ac:dyDescent="0.3">
      <c r="A55" s="6"/>
      <c r="B55" s="8"/>
      <c r="C55" s="4"/>
      <c r="D55" s="15" t="s">
        <v>171</v>
      </c>
      <c r="E55" s="41"/>
      <c r="F55" s="41">
        <f>58.6</f>
        <v>58.6</v>
      </c>
      <c r="G55" s="13" t="s">
        <v>113</v>
      </c>
      <c r="H55" s="44">
        <f>21364.6/F55</f>
        <v>364.58361774744026</v>
      </c>
      <c r="I55" s="63">
        <f t="shared" si="3"/>
        <v>21364.6</v>
      </c>
      <c r="J55" s="13" t="s">
        <v>210</v>
      </c>
      <c r="L55" s="2"/>
    </row>
    <row r="56" spans="1:12" ht="32.25" x14ac:dyDescent="0.3">
      <c r="A56" s="6"/>
      <c r="B56" s="8"/>
      <c r="C56" s="4"/>
      <c r="D56" s="15" t="s">
        <v>173</v>
      </c>
      <c r="E56" s="41"/>
      <c r="F56" s="41">
        <f>5.12</f>
        <v>5.12</v>
      </c>
      <c r="G56" s="13" t="s">
        <v>113</v>
      </c>
      <c r="H56" s="44">
        <f>20785.2/F56</f>
        <v>4059.609375</v>
      </c>
      <c r="I56" s="63">
        <f t="shared" si="3"/>
        <v>20785.2</v>
      </c>
      <c r="J56" s="13" t="s">
        <v>188</v>
      </c>
      <c r="L56" s="2"/>
    </row>
    <row r="57" spans="1:12" ht="48" x14ac:dyDescent="0.3">
      <c r="A57" s="6"/>
      <c r="B57" s="8"/>
      <c r="C57" s="4"/>
      <c r="D57" s="15" t="s">
        <v>209</v>
      </c>
      <c r="E57" s="41"/>
      <c r="F57" s="41">
        <f>564.6</f>
        <v>564.6</v>
      </c>
      <c r="G57" s="13" t="s">
        <v>113</v>
      </c>
      <c r="H57" s="44">
        <f>103020.8/F57</f>
        <v>182.46687920651789</v>
      </c>
      <c r="I57" s="63">
        <f t="shared" si="3"/>
        <v>103020.8</v>
      </c>
      <c r="J57" s="13" t="s">
        <v>188</v>
      </c>
      <c r="L57" s="2"/>
    </row>
    <row r="58" spans="1:12" ht="32.25" x14ac:dyDescent="0.3">
      <c r="A58" s="6"/>
      <c r="B58" s="8"/>
      <c r="C58" s="4"/>
      <c r="D58" s="15" t="s">
        <v>183</v>
      </c>
      <c r="E58" s="41"/>
      <c r="F58" s="41">
        <v>564.6</v>
      </c>
      <c r="G58" s="13" t="s">
        <v>113</v>
      </c>
      <c r="H58" s="44">
        <f>344185/F58</f>
        <v>609.60857244066597</v>
      </c>
      <c r="I58" s="63">
        <f t="shared" si="3"/>
        <v>344185</v>
      </c>
      <c r="J58" s="13" t="s">
        <v>188</v>
      </c>
      <c r="L58" s="2"/>
    </row>
    <row r="59" spans="1:12" ht="48" x14ac:dyDescent="0.3">
      <c r="A59" s="6"/>
      <c r="B59" s="8"/>
      <c r="C59" s="4"/>
      <c r="D59" s="15" t="s">
        <v>214</v>
      </c>
      <c r="E59" s="41" t="s">
        <v>139</v>
      </c>
      <c r="F59" s="41">
        <v>2.5</v>
      </c>
      <c r="G59" s="13" t="s">
        <v>113</v>
      </c>
      <c r="H59" s="41">
        <f>5984/F59</f>
        <v>2393.6</v>
      </c>
      <c r="I59" s="63">
        <f t="shared" si="3"/>
        <v>5984</v>
      </c>
      <c r="J59" s="13" t="s">
        <v>188</v>
      </c>
      <c r="L59" s="2"/>
    </row>
    <row r="60" spans="1:12" ht="18.75" x14ac:dyDescent="0.3">
      <c r="A60" s="6" t="s">
        <v>62</v>
      </c>
      <c r="B60" s="5"/>
      <c r="C60" s="4"/>
      <c r="D60" s="15" t="s">
        <v>52</v>
      </c>
      <c r="E60" s="41" t="s">
        <v>139</v>
      </c>
      <c r="F60" s="41" t="s">
        <v>139</v>
      </c>
      <c r="G60" s="14" t="s">
        <v>54</v>
      </c>
      <c r="H60" s="41" t="s">
        <v>139</v>
      </c>
      <c r="I60" s="41" t="s">
        <v>139</v>
      </c>
      <c r="J60" s="13"/>
      <c r="L60" s="2"/>
    </row>
    <row r="61" spans="1:12" ht="48" x14ac:dyDescent="0.3">
      <c r="A61" s="6"/>
      <c r="B61" s="5"/>
      <c r="C61" s="4"/>
      <c r="D61" s="15" t="s">
        <v>212</v>
      </c>
      <c r="E61" s="41"/>
      <c r="F61" s="41">
        <v>34.020000000000003</v>
      </c>
      <c r="G61" s="14" t="s">
        <v>113</v>
      </c>
      <c r="H61" s="44">
        <f>27399.8/F61</f>
        <v>805.40270429159307</v>
      </c>
      <c r="I61" s="55">
        <f>F61*H61</f>
        <v>27399.8</v>
      </c>
      <c r="J61" s="13" t="s">
        <v>122</v>
      </c>
      <c r="L61" s="2"/>
    </row>
    <row r="62" spans="1:12" ht="32.25" x14ac:dyDescent="0.3">
      <c r="A62" s="6"/>
      <c r="B62" s="5"/>
      <c r="C62" s="4"/>
      <c r="D62" s="15" t="s">
        <v>207</v>
      </c>
      <c r="E62" s="41"/>
      <c r="F62" s="41">
        <f>29.9</f>
        <v>29.9</v>
      </c>
      <c r="G62" s="13" t="s">
        <v>113</v>
      </c>
      <c r="H62" s="44">
        <f>20884.4/F62</f>
        <v>698.47491638795998</v>
      </c>
      <c r="I62" s="57">
        <f>F62*H62</f>
        <v>20884.400000000001</v>
      </c>
      <c r="J62" s="13" t="s">
        <v>188</v>
      </c>
      <c r="L62" s="2"/>
    </row>
    <row r="63" spans="1:12" ht="32.25" x14ac:dyDescent="0.3">
      <c r="A63" s="6"/>
      <c r="B63" s="5"/>
      <c r="C63" s="4"/>
      <c r="D63" s="15" t="s">
        <v>202</v>
      </c>
      <c r="E63" s="41"/>
      <c r="F63" s="41">
        <f>25.2</f>
        <v>25.2</v>
      </c>
      <c r="G63" s="13" t="s">
        <v>113</v>
      </c>
      <c r="H63" s="44">
        <f>59179.4/F63</f>
        <v>2348.3888888888891</v>
      </c>
      <c r="I63" s="57">
        <f>H63*F63</f>
        <v>59179.4</v>
      </c>
      <c r="J63" s="13" t="s">
        <v>121</v>
      </c>
      <c r="L63" s="2"/>
    </row>
    <row r="64" spans="1:12" ht="18.75" x14ac:dyDescent="0.3">
      <c r="A64" s="6"/>
      <c r="B64" s="5"/>
      <c r="C64" s="4"/>
      <c r="D64" s="15" t="s">
        <v>199</v>
      </c>
      <c r="E64" s="41"/>
      <c r="F64" s="41"/>
      <c r="G64" s="13" t="s">
        <v>113</v>
      </c>
      <c r="H64" s="41"/>
      <c r="I64" s="57"/>
      <c r="J64" s="13"/>
      <c r="L64" s="2"/>
    </row>
    <row r="65" spans="1:12" ht="32.25" x14ac:dyDescent="0.3">
      <c r="A65" s="6" t="s">
        <v>63</v>
      </c>
      <c r="B65" s="5"/>
      <c r="C65" s="4"/>
      <c r="D65" s="15" t="s">
        <v>65</v>
      </c>
      <c r="E65" s="41" t="s">
        <v>139</v>
      </c>
      <c r="F65" s="41"/>
      <c r="G65" s="13" t="s">
        <v>31</v>
      </c>
      <c r="H65" s="41"/>
      <c r="I65" s="55"/>
      <c r="J65" s="13"/>
      <c r="L65" s="2"/>
    </row>
    <row r="66" spans="1:12" ht="18.75" x14ac:dyDescent="0.3">
      <c r="A66" s="6"/>
      <c r="B66" s="5"/>
      <c r="C66" s="4"/>
      <c r="D66" s="15" t="s">
        <v>154</v>
      </c>
      <c r="E66" s="41" t="s">
        <v>139</v>
      </c>
      <c r="F66" s="41" t="s">
        <v>139</v>
      </c>
      <c r="G66" s="13" t="s">
        <v>163</v>
      </c>
      <c r="H66" s="41" t="s">
        <v>139</v>
      </c>
      <c r="I66" s="41" t="s">
        <v>139</v>
      </c>
      <c r="J66" s="13"/>
      <c r="L66" s="2"/>
    </row>
    <row r="67" spans="1:12" ht="18.75" x14ac:dyDescent="0.3">
      <c r="A67" s="6" t="s">
        <v>59</v>
      </c>
      <c r="B67" s="8"/>
      <c r="C67" s="4"/>
      <c r="D67" s="4" t="s">
        <v>48</v>
      </c>
      <c r="E67" s="41" t="s">
        <v>139</v>
      </c>
      <c r="F67" s="41" t="s">
        <v>139</v>
      </c>
      <c r="G67" s="14" t="s">
        <v>54</v>
      </c>
      <c r="H67" s="41" t="s">
        <v>139</v>
      </c>
      <c r="I67" s="41" t="s">
        <v>139</v>
      </c>
      <c r="J67" s="13"/>
      <c r="L67" s="2"/>
    </row>
    <row r="68" spans="1:12" ht="48" x14ac:dyDescent="0.3">
      <c r="A68" s="6"/>
      <c r="B68" s="8"/>
      <c r="C68" s="4"/>
      <c r="D68" s="15" t="s">
        <v>208</v>
      </c>
      <c r="E68" s="41"/>
      <c r="F68" s="41">
        <f>213.2</f>
        <v>213.2</v>
      </c>
      <c r="G68" s="14" t="s">
        <v>113</v>
      </c>
      <c r="H68" s="44">
        <f>38902.4/F68</f>
        <v>182.46904315197</v>
      </c>
      <c r="I68" s="63">
        <f>F68*H68</f>
        <v>38902.400000000001</v>
      </c>
      <c r="J68" s="13" t="s">
        <v>188</v>
      </c>
      <c r="L68" s="2"/>
    </row>
    <row r="69" spans="1:12" ht="32.25" x14ac:dyDescent="0.3">
      <c r="A69" s="6"/>
      <c r="B69" s="8"/>
      <c r="C69" s="4"/>
      <c r="D69" s="15" t="s">
        <v>174</v>
      </c>
      <c r="E69" s="41"/>
      <c r="F69" s="41">
        <v>213.2</v>
      </c>
      <c r="G69" s="13" t="s">
        <v>113</v>
      </c>
      <c r="H69" s="44">
        <f>178249.2/F69</f>
        <v>836.0656660412759</v>
      </c>
      <c r="I69" s="63">
        <f>F69*H69</f>
        <v>178249.2</v>
      </c>
      <c r="J69" s="13" t="s">
        <v>188</v>
      </c>
      <c r="L69" s="2"/>
    </row>
    <row r="70" spans="1:12" ht="24" customHeight="1" x14ac:dyDescent="0.3">
      <c r="A70" s="6" t="s">
        <v>61</v>
      </c>
      <c r="B70" s="8"/>
      <c r="C70" s="4"/>
      <c r="D70" s="4" t="s">
        <v>49</v>
      </c>
      <c r="E70" s="41" t="s">
        <v>139</v>
      </c>
      <c r="F70" s="41" t="s">
        <v>139</v>
      </c>
      <c r="G70" s="14" t="s">
        <v>54</v>
      </c>
      <c r="H70" s="41" t="s">
        <v>139</v>
      </c>
      <c r="I70" s="41" t="s">
        <v>139</v>
      </c>
      <c r="J70" s="13"/>
      <c r="L70" s="2"/>
    </row>
    <row r="71" spans="1:12" ht="24" customHeight="1" x14ac:dyDescent="0.3">
      <c r="A71" s="6" t="s">
        <v>66</v>
      </c>
      <c r="B71" s="8"/>
      <c r="C71" s="4"/>
      <c r="D71" s="4" t="s">
        <v>175</v>
      </c>
      <c r="E71" s="41" t="s">
        <v>139</v>
      </c>
      <c r="F71" s="41" t="s">
        <v>139</v>
      </c>
      <c r="G71" s="14" t="s">
        <v>31</v>
      </c>
      <c r="H71" s="41" t="s">
        <v>139</v>
      </c>
      <c r="I71" s="41" t="s">
        <v>139</v>
      </c>
      <c r="J71" s="13"/>
      <c r="L71" s="2"/>
    </row>
    <row r="72" spans="1:12" ht="48" x14ac:dyDescent="0.3">
      <c r="A72" s="6"/>
      <c r="B72" s="5"/>
      <c r="C72" s="4"/>
      <c r="D72" s="15" t="s">
        <v>176</v>
      </c>
      <c r="E72" s="41" t="s">
        <v>139</v>
      </c>
      <c r="F72" s="41" t="s">
        <v>139</v>
      </c>
      <c r="G72" s="13" t="s">
        <v>55</v>
      </c>
      <c r="H72" s="41" t="s">
        <v>139</v>
      </c>
      <c r="I72" s="41" t="s">
        <v>139</v>
      </c>
      <c r="J72" s="13"/>
      <c r="L72" s="2"/>
    </row>
    <row r="73" spans="1:12" ht="18.75" x14ac:dyDescent="0.3">
      <c r="A73" s="28"/>
      <c r="B73" s="22"/>
      <c r="C73" s="22"/>
      <c r="D73" s="22"/>
      <c r="E73" s="45"/>
      <c r="F73" s="45"/>
      <c r="G73" s="12"/>
      <c r="H73" s="41"/>
      <c r="I73" s="44">
        <f>SUM(I41:I72)</f>
        <v>867015.60000000009</v>
      </c>
      <c r="J73" s="13"/>
      <c r="L73" s="2"/>
    </row>
    <row r="74" spans="1:12" ht="18.75" x14ac:dyDescent="0.3">
      <c r="A74" s="73" t="s">
        <v>68</v>
      </c>
      <c r="B74" s="74"/>
      <c r="C74" s="74"/>
      <c r="D74" s="74"/>
      <c r="E74" s="74"/>
      <c r="F74" s="74"/>
      <c r="G74" s="75"/>
      <c r="H74" s="18"/>
      <c r="I74" s="5"/>
      <c r="J74" s="13"/>
      <c r="L74" s="2"/>
    </row>
    <row r="75" spans="1:12" ht="37.5" x14ac:dyDescent="0.25">
      <c r="A75" s="9" t="s">
        <v>29</v>
      </c>
      <c r="B75" s="8"/>
      <c r="C75" s="4"/>
      <c r="D75" s="15" t="s">
        <v>142</v>
      </c>
      <c r="E75" s="41" t="s">
        <v>139</v>
      </c>
      <c r="F75" s="41" t="s">
        <v>139</v>
      </c>
      <c r="G75" s="13" t="s">
        <v>55</v>
      </c>
      <c r="H75" s="41" t="s">
        <v>139</v>
      </c>
      <c r="I75" s="41" t="s">
        <v>139</v>
      </c>
      <c r="J75" s="13"/>
      <c r="L75" s="2"/>
    </row>
    <row r="76" spans="1:12" ht="46.5" customHeight="1" x14ac:dyDescent="0.25">
      <c r="A76" s="9" t="s">
        <v>93</v>
      </c>
      <c r="B76" s="8"/>
      <c r="C76" s="4"/>
      <c r="D76" s="42" t="s">
        <v>126</v>
      </c>
      <c r="E76" s="32"/>
      <c r="F76" s="13">
        <f>4910.6</f>
        <v>4910.6000000000004</v>
      </c>
      <c r="G76" s="13" t="s">
        <v>113</v>
      </c>
      <c r="H76" s="33">
        <f>(22989.8+22987.6+22987.6+23130.6+23130.4+23130.6+24031+24031+24031+24341.2+24341.2+24341.2)/F76</f>
        <v>57.726795096322242</v>
      </c>
      <c r="I76" s="33">
        <f>F76*H76</f>
        <v>283473.2</v>
      </c>
      <c r="J76" s="13" t="s">
        <v>116</v>
      </c>
      <c r="L76" s="2"/>
    </row>
    <row r="77" spans="1:12" ht="46.5" customHeight="1" x14ac:dyDescent="0.25">
      <c r="A77" s="9"/>
      <c r="B77" s="8"/>
      <c r="C77" s="4"/>
      <c r="D77" s="15" t="s">
        <v>111</v>
      </c>
      <c r="E77" s="32"/>
      <c r="F77" s="13">
        <v>2407</v>
      </c>
      <c r="G77" s="13" t="s">
        <v>30</v>
      </c>
      <c r="H77" s="33">
        <f>228136.4/F77</f>
        <v>94.780390527627745</v>
      </c>
      <c r="I77" s="33">
        <f>F77*H77</f>
        <v>228136.4</v>
      </c>
      <c r="J77" s="13" t="s">
        <v>118</v>
      </c>
      <c r="L77" s="2"/>
    </row>
    <row r="78" spans="1:12" ht="46.5" customHeight="1" x14ac:dyDescent="0.25">
      <c r="A78" s="9"/>
      <c r="B78" s="8"/>
      <c r="C78" s="4"/>
      <c r="D78" s="15" t="s">
        <v>112</v>
      </c>
      <c r="E78" s="41"/>
      <c r="F78" s="41">
        <v>300</v>
      </c>
      <c r="G78" s="13" t="s">
        <v>30</v>
      </c>
      <c r="H78" s="44">
        <f>28749.8/F78</f>
        <v>95.832666666666668</v>
      </c>
      <c r="I78" s="33">
        <f t="shared" ref="I78:I79" si="4">F78*H78</f>
        <v>28749.8</v>
      </c>
      <c r="J78" s="13" t="s">
        <v>118</v>
      </c>
      <c r="L78" s="2"/>
    </row>
    <row r="79" spans="1:12" ht="46.5" customHeight="1" x14ac:dyDescent="0.25">
      <c r="A79" s="9"/>
      <c r="B79" s="8"/>
      <c r="C79" s="4"/>
      <c r="D79" s="15" t="s">
        <v>193</v>
      </c>
      <c r="E79" s="41"/>
      <c r="F79" s="41">
        <f>6</f>
        <v>6</v>
      </c>
      <c r="G79" s="13" t="s">
        <v>31</v>
      </c>
      <c r="H79" s="44">
        <f>9146.2/F79</f>
        <v>1524.3666666666668</v>
      </c>
      <c r="I79" s="58">
        <f t="shared" si="4"/>
        <v>9146.2000000000007</v>
      </c>
      <c r="J79" s="13" t="s">
        <v>116</v>
      </c>
      <c r="L79" s="2"/>
    </row>
    <row r="80" spans="1:12" ht="46.5" customHeight="1" x14ac:dyDescent="0.25">
      <c r="A80" s="9"/>
      <c r="B80" s="8"/>
      <c r="C80" s="4"/>
      <c r="D80" s="15" t="s">
        <v>196</v>
      </c>
      <c r="E80" s="41" t="s">
        <v>139</v>
      </c>
      <c r="F80" s="41">
        <f>1+2</f>
        <v>3</v>
      </c>
      <c r="G80" s="13" t="s">
        <v>31</v>
      </c>
      <c r="H80" s="44">
        <f>(7860+16208.8)/F80</f>
        <v>8022.9333333333334</v>
      </c>
      <c r="I80" s="41">
        <f>F80*H80</f>
        <v>24068.799999999999</v>
      </c>
      <c r="J80" s="13" t="s">
        <v>121</v>
      </c>
      <c r="L80" s="2"/>
    </row>
    <row r="81" spans="1:12" ht="46.5" customHeight="1" x14ac:dyDescent="0.25">
      <c r="A81" s="9"/>
      <c r="B81" s="8"/>
      <c r="C81" s="4"/>
      <c r="D81" s="15" t="s">
        <v>158</v>
      </c>
      <c r="E81" s="41"/>
      <c r="F81" s="41">
        <f>3+8</f>
        <v>11</v>
      </c>
      <c r="G81" s="13" t="s">
        <v>30</v>
      </c>
      <c r="H81" s="44">
        <f>(1064.4+2966.8)/F81</f>
        <v>366.4727272727273</v>
      </c>
      <c r="I81" s="55">
        <f>F81*H81</f>
        <v>4031.2000000000003</v>
      </c>
      <c r="J81" s="13" t="s">
        <v>116</v>
      </c>
      <c r="L81" s="2"/>
    </row>
    <row r="82" spans="1:12" ht="82.5" customHeight="1" x14ac:dyDescent="0.25">
      <c r="A82" s="9"/>
      <c r="B82" s="8"/>
      <c r="C82" s="4"/>
      <c r="D82" s="15" t="s">
        <v>159</v>
      </c>
      <c r="E82" s="41"/>
      <c r="F82" s="41">
        <v>3</v>
      </c>
      <c r="G82" s="13" t="s">
        <v>157</v>
      </c>
      <c r="H82" s="44">
        <f>104.2/F82</f>
        <v>34.733333333333334</v>
      </c>
      <c r="I82" s="55">
        <f t="shared" ref="I82:I85" si="5">F82*H82</f>
        <v>104.2</v>
      </c>
      <c r="J82" s="13" t="s">
        <v>116</v>
      </c>
      <c r="L82" s="2"/>
    </row>
    <row r="83" spans="1:12" ht="71.25" customHeight="1" x14ac:dyDescent="0.25">
      <c r="A83" s="9"/>
      <c r="B83" s="8"/>
      <c r="C83" s="4"/>
      <c r="D83" s="15" t="s">
        <v>160</v>
      </c>
      <c r="E83" s="41"/>
      <c r="F83" s="41">
        <v>2</v>
      </c>
      <c r="G83" s="13" t="s">
        <v>30</v>
      </c>
      <c r="H83" s="41">
        <f>1449.2/F83</f>
        <v>724.6</v>
      </c>
      <c r="I83" s="55">
        <f t="shared" si="5"/>
        <v>1449.2</v>
      </c>
      <c r="J83" s="13" t="s">
        <v>116</v>
      </c>
      <c r="L83" s="2"/>
    </row>
    <row r="84" spans="1:12" ht="88.5" customHeight="1" x14ac:dyDescent="0.25">
      <c r="A84" s="9"/>
      <c r="B84" s="8"/>
      <c r="C84" s="4"/>
      <c r="D84" s="15" t="s">
        <v>170</v>
      </c>
      <c r="E84" s="41"/>
      <c r="F84" s="41">
        <f>9</f>
        <v>9</v>
      </c>
      <c r="G84" s="13" t="s">
        <v>157</v>
      </c>
      <c r="H84" s="44">
        <f>334/F84</f>
        <v>37.111111111111114</v>
      </c>
      <c r="I84" s="55">
        <f t="shared" si="5"/>
        <v>334</v>
      </c>
      <c r="J84" s="13" t="s">
        <v>121</v>
      </c>
      <c r="L84" s="2"/>
    </row>
    <row r="85" spans="1:12" ht="71.25" customHeight="1" x14ac:dyDescent="0.25">
      <c r="A85" s="9"/>
      <c r="B85" s="8"/>
      <c r="C85" s="4"/>
      <c r="D85" s="15" t="s">
        <v>150</v>
      </c>
      <c r="E85" s="41"/>
      <c r="F85" s="41">
        <f>6</f>
        <v>6</v>
      </c>
      <c r="G85" s="13" t="s">
        <v>30</v>
      </c>
      <c r="H85" s="41">
        <f>6193.2/F85</f>
        <v>1032.2</v>
      </c>
      <c r="I85" s="55">
        <f t="shared" si="5"/>
        <v>6193.2000000000007</v>
      </c>
      <c r="J85" s="13" t="s">
        <v>121</v>
      </c>
      <c r="L85" s="2"/>
    </row>
    <row r="86" spans="1:12" ht="91.5" customHeight="1" x14ac:dyDescent="0.25">
      <c r="A86" s="9"/>
      <c r="B86" s="8"/>
      <c r="C86" s="4"/>
      <c r="D86" s="15" t="s">
        <v>216</v>
      </c>
      <c r="E86" s="41"/>
      <c r="F86" s="41">
        <f>2+4</f>
        <v>6</v>
      </c>
      <c r="G86" s="13" t="s">
        <v>157</v>
      </c>
      <c r="H86" s="44">
        <f>(47+99)/F86</f>
        <v>24.333333333333332</v>
      </c>
      <c r="I86" s="55">
        <f t="shared" ref="I86:I87" si="6">F86*H86</f>
        <v>146</v>
      </c>
      <c r="J86" s="13" t="s">
        <v>116</v>
      </c>
      <c r="L86" s="2"/>
    </row>
    <row r="87" spans="1:12" ht="46.5" customHeight="1" x14ac:dyDescent="0.25">
      <c r="A87" s="9"/>
      <c r="B87" s="8"/>
      <c r="C87" s="4"/>
      <c r="D87" s="15" t="s">
        <v>217</v>
      </c>
      <c r="E87" s="41"/>
      <c r="F87" s="41">
        <f>1+2</f>
        <v>3</v>
      </c>
      <c r="G87" s="13" t="s">
        <v>30</v>
      </c>
      <c r="H87" s="41">
        <f>(197.2+5943.2)/F87</f>
        <v>2046.8</v>
      </c>
      <c r="I87" s="55">
        <f t="shared" si="6"/>
        <v>6140.4</v>
      </c>
      <c r="J87" s="13" t="s">
        <v>116</v>
      </c>
      <c r="L87" s="2"/>
    </row>
    <row r="88" spans="1:12" ht="46.5" customHeight="1" x14ac:dyDescent="0.25">
      <c r="A88" s="9"/>
      <c r="B88" s="8"/>
      <c r="C88" s="4"/>
      <c r="D88" s="15" t="s">
        <v>156</v>
      </c>
      <c r="E88" s="41"/>
      <c r="F88" s="41">
        <f>1+2</f>
        <v>3</v>
      </c>
      <c r="G88" s="13" t="s">
        <v>151</v>
      </c>
      <c r="H88" s="41">
        <f>(7000+14513.6)/F88</f>
        <v>7171.2</v>
      </c>
      <c r="I88" s="63">
        <f>F88*H88</f>
        <v>21513.599999999999</v>
      </c>
      <c r="J88" s="13" t="s">
        <v>122</v>
      </c>
      <c r="L88" s="2"/>
    </row>
    <row r="89" spans="1:12" ht="46.5" customHeight="1" x14ac:dyDescent="0.25">
      <c r="A89" s="9"/>
      <c r="B89" s="8"/>
      <c r="C89" s="4"/>
      <c r="D89" s="15" t="s">
        <v>162</v>
      </c>
      <c r="E89" s="41"/>
      <c r="F89" s="41">
        <f>4</f>
        <v>4</v>
      </c>
      <c r="G89" s="13" t="s">
        <v>151</v>
      </c>
      <c r="H89" s="41">
        <f>29729/F89</f>
        <v>7432.25</v>
      </c>
      <c r="I89" s="63">
        <f>F89*H89</f>
        <v>29729</v>
      </c>
      <c r="J89" s="13" t="s">
        <v>121</v>
      </c>
      <c r="L89" s="2"/>
    </row>
    <row r="90" spans="1:12" ht="31.5" x14ac:dyDescent="0.25">
      <c r="A90" s="9" t="s">
        <v>84</v>
      </c>
      <c r="B90" s="8"/>
      <c r="C90" s="4"/>
      <c r="D90" s="15" t="s">
        <v>153</v>
      </c>
      <c r="E90" s="41" t="s">
        <v>139</v>
      </c>
      <c r="F90" s="41" t="s">
        <v>139</v>
      </c>
      <c r="G90" s="13" t="s">
        <v>55</v>
      </c>
      <c r="H90" s="41" t="s">
        <v>139</v>
      </c>
      <c r="I90" s="41" t="s">
        <v>139</v>
      </c>
      <c r="J90" s="13"/>
      <c r="L90" s="2"/>
    </row>
    <row r="91" spans="1:12" ht="31.5" x14ac:dyDescent="0.25">
      <c r="A91" s="9"/>
      <c r="B91" s="8"/>
      <c r="C91" s="4"/>
      <c r="D91" s="15" t="s">
        <v>161</v>
      </c>
      <c r="E91" s="41"/>
      <c r="F91" s="41">
        <f>4+10</f>
        <v>14</v>
      </c>
      <c r="G91" s="13" t="s">
        <v>31</v>
      </c>
      <c r="H91" s="41">
        <f>(5917.8+12089)/F91</f>
        <v>1286.2</v>
      </c>
      <c r="I91" s="55">
        <f>F91*H91</f>
        <v>18006.8</v>
      </c>
      <c r="J91" s="13" t="s">
        <v>116</v>
      </c>
      <c r="L91" s="2"/>
    </row>
    <row r="92" spans="1:12" ht="18.75" x14ac:dyDescent="0.25">
      <c r="A92" s="9" t="s">
        <v>20</v>
      </c>
      <c r="B92" s="8"/>
      <c r="C92" s="4"/>
      <c r="D92" s="15" t="s">
        <v>69</v>
      </c>
      <c r="E92" s="41" t="s">
        <v>139</v>
      </c>
      <c r="F92" s="41" t="s">
        <v>139</v>
      </c>
      <c r="G92" s="13" t="s">
        <v>30</v>
      </c>
      <c r="H92" s="41" t="s">
        <v>139</v>
      </c>
      <c r="I92" s="41" t="s">
        <v>139</v>
      </c>
      <c r="J92" s="13"/>
      <c r="L92" s="2"/>
    </row>
    <row r="93" spans="1:12" ht="31.5" x14ac:dyDescent="0.25">
      <c r="A93" s="9" t="s">
        <v>21</v>
      </c>
      <c r="B93" s="8"/>
      <c r="C93" s="4"/>
      <c r="D93" s="15" t="s">
        <v>71</v>
      </c>
      <c r="E93" s="41" t="s">
        <v>139</v>
      </c>
      <c r="F93" s="41" t="s">
        <v>139</v>
      </c>
      <c r="G93" s="13" t="s">
        <v>143</v>
      </c>
      <c r="H93" s="41" t="s">
        <v>139</v>
      </c>
      <c r="I93" s="41" t="s">
        <v>139</v>
      </c>
      <c r="J93" s="13"/>
      <c r="L93" s="2"/>
    </row>
    <row r="94" spans="1:12" ht="18.75" x14ac:dyDescent="0.25">
      <c r="A94" s="9"/>
      <c r="B94" s="8"/>
      <c r="C94" s="4"/>
      <c r="D94" s="15" t="s">
        <v>197</v>
      </c>
      <c r="E94" s="41"/>
      <c r="F94" s="41">
        <f>1</f>
        <v>1</v>
      </c>
      <c r="G94" s="13" t="s">
        <v>198</v>
      </c>
      <c r="H94" s="41">
        <f>21600/F94</f>
        <v>21600</v>
      </c>
      <c r="I94" s="55">
        <f>F94*H94</f>
        <v>21600</v>
      </c>
      <c r="J94" s="13"/>
      <c r="L94" s="2"/>
    </row>
    <row r="95" spans="1:12" ht="18.75" x14ac:dyDescent="0.25">
      <c r="A95" s="46"/>
      <c r="B95" s="47"/>
      <c r="C95" s="22"/>
      <c r="D95" s="30"/>
      <c r="E95" s="45"/>
      <c r="F95" s="45"/>
      <c r="G95" s="31"/>
      <c r="H95" s="41"/>
      <c r="I95" s="44">
        <f>SUM(I76:I94)</f>
        <v>682821.99999999988</v>
      </c>
      <c r="J95" s="13"/>
      <c r="L95" s="2"/>
    </row>
    <row r="96" spans="1:12" ht="18.75" x14ac:dyDescent="0.3">
      <c r="A96" s="69" t="s">
        <v>72</v>
      </c>
      <c r="B96" s="70"/>
      <c r="C96" s="70"/>
      <c r="D96" s="70"/>
      <c r="E96" s="70"/>
      <c r="F96" s="70"/>
      <c r="G96" s="71"/>
      <c r="H96" s="19"/>
      <c r="I96" s="5"/>
      <c r="J96" s="13"/>
      <c r="L96" s="2"/>
    </row>
    <row r="97" spans="1:12" ht="37.5" x14ac:dyDescent="0.25">
      <c r="A97" s="9" t="s">
        <v>93</v>
      </c>
      <c r="B97" s="8"/>
      <c r="C97" s="4"/>
      <c r="D97" s="4" t="s">
        <v>128</v>
      </c>
      <c r="E97" s="31"/>
      <c r="F97" s="13">
        <f>4+4+4+2+2+6+8+20+16+2</f>
        <v>68</v>
      </c>
      <c r="G97" s="13" t="s">
        <v>115</v>
      </c>
      <c r="H97" s="33">
        <f>(2808.4+2804.4+2828+1412.8+1468+4405.2+5873.2+14869.6+11894.4+1486.6)/F97/3</f>
        <v>244.36568627450981</v>
      </c>
      <c r="I97" s="33">
        <f>F97*H97</f>
        <v>16616.866666666669</v>
      </c>
      <c r="J97" s="13" t="s">
        <v>116</v>
      </c>
      <c r="L97" s="2"/>
    </row>
    <row r="98" spans="1:12" ht="31.5" x14ac:dyDescent="0.25">
      <c r="A98" s="9"/>
      <c r="B98" s="8"/>
      <c r="C98" s="4"/>
      <c r="D98" s="15" t="s">
        <v>156</v>
      </c>
      <c r="E98" s="31"/>
      <c r="F98" s="31">
        <f>6</f>
        <v>6</v>
      </c>
      <c r="G98" s="13" t="s">
        <v>151</v>
      </c>
      <c r="H98" s="65">
        <f>43548.8/F98</f>
        <v>7258.1333333333341</v>
      </c>
      <c r="I98" s="59">
        <f t="shared" ref="I98" si="7">F98*H98</f>
        <v>43548.800000000003</v>
      </c>
      <c r="J98" s="13" t="s">
        <v>191</v>
      </c>
      <c r="L98" s="2"/>
    </row>
    <row r="99" spans="1:12" ht="31.5" x14ac:dyDescent="0.25">
      <c r="A99" s="9"/>
      <c r="B99" s="8"/>
      <c r="C99" s="4"/>
      <c r="D99" s="15" t="s">
        <v>158</v>
      </c>
      <c r="E99" s="41"/>
      <c r="F99" s="41">
        <f>1+3</f>
        <v>4</v>
      </c>
      <c r="G99" s="13" t="s">
        <v>30</v>
      </c>
      <c r="H99" s="41">
        <f>(344.8+1033.8)/F99</f>
        <v>344.65</v>
      </c>
      <c r="I99" s="55">
        <f>F99*H99</f>
        <v>1378.6</v>
      </c>
      <c r="J99" s="13" t="s">
        <v>116</v>
      </c>
      <c r="L99" s="2"/>
    </row>
    <row r="100" spans="1:12" ht="78.75" x14ac:dyDescent="0.25">
      <c r="A100" s="9"/>
      <c r="B100" s="8"/>
      <c r="C100" s="4"/>
      <c r="D100" s="15" t="s">
        <v>170</v>
      </c>
      <c r="E100" s="41"/>
      <c r="F100" s="41">
        <f>4+5</f>
        <v>9</v>
      </c>
      <c r="G100" s="13" t="s">
        <v>157</v>
      </c>
      <c r="H100" s="44">
        <f>(149.2+188)/F100</f>
        <v>37.466666666666669</v>
      </c>
      <c r="I100" s="55">
        <f t="shared" ref="I100:I101" si="8">F100*H100</f>
        <v>337.20000000000005</v>
      </c>
      <c r="J100" s="13" t="s">
        <v>116</v>
      </c>
      <c r="L100" s="2"/>
    </row>
    <row r="101" spans="1:12" ht="47.25" x14ac:dyDescent="0.25">
      <c r="A101" s="9"/>
      <c r="B101" s="8"/>
      <c r="C101" s="4"/>
      <c r="D101" s="15" t="s">
        <v>150</v>
      </c>
      <c r="E101" s="41"/>
      <c r="F101" s="41">
        <f>1+3</f>
        <v>4</v>
      </c>
      <c r="G101" s="13" t="s">
        <v>30</v>
      </c>
      <c r="H101" s="41">
        <f>(2708.2+1163)/F101</f>
        <v>967.8</v>
      </c>
      <c r="I101" s="55">
        <f t="shared" si="8"/>
        <v>3871.2</v>
      </c>
      <c r="J101" s="13" t="s">
        <v>116</v>
      </c>
      <c r="L101" s="2"/>
    </row>
    <row r="102" spans="1:12" ht="31.5" x14ac:dyDescent="0.25">
      <c r="A102" s="9"/>
      <c r="B102" s="8"/>
      <c r="C102" s="4"/>
      <c r="D102" s="15" t="s">
        <v>162</v>
      </c>
      <c r="E102" s="41"/>
      <c r="F102" s="41">
        <f>2</f>
        <v>2</v>
      </c>
      <c r="G102" s="13" t="s">
        <v>151</v>
      </c>
      <c r="H102" s="41">
        <f>14861.6/F102</f>
        <v>7430.8</v>
      </c>
      <c r="I102" s="55">
        <f>F102*H102</f>
        <v>14861.6</v>
      </c>
      <c r="J102" s="13" t="s">
        <v>118</v>
      </c>
      <c r="L102" s="2"/>
    </row>
    <row r="103" spans="1:12" ht="31.5" x14ac:dyDescent="0.25">
      <c r="A103" s="9"/>
      <c r="B103" s="8"/>
      <c r="C103" s="4"/>
      <c r="D103" s="15" t="s">
        <v>165</v>
      </c>
      <c r="E103" s="31"/>
      <c r="F103" s="31">
        <f>8</f>
        <v>8</v>
      </c>
      <c r="G103" s="13" t="s">
        <v>151</v>
      </c>
      <c r="H103" s="31">
        <f>61326.4/F103</f>
        <v>7665.8</v>
      </c>
      <c r="I103" s="59">
        <f>F103*H103</f>
        <v>61326.400000000001</v>
      </c>
      <c r="J103" s="13" t="s">
        <v>118</v>
      </c>
      <c r="L103" s="2"/>
    </row>
    <row r="104" spans="1:12" ht="18.75" x14ac:dyDescent="0.25">
      <c r="A104" s="9"/>
      <c r="B104" s="8"/>
      <c r="C104" s="4"/>
      <c r="D104" s="15" t="s">
        <v>221</v>
      </c>
      <c r="E104" s="41"/>
      <c r="F104" s="41">
        <f>1</f>
        <v>1</v>
      </c>
      <c r="G104" s="13" t="s">
        <v>31</v>
      </c>
      <c r="H104" s="41">
        <f>2297.4/F104</f>
        <v>2297.4</v>
      </c>
      <c r="I104" s="41">
        <f>F104*H104</f>
        <v>2297.4</v>
      </c>
      <c r="J104" s="13" t="s">
        <v>122</v>
      </c>
      <c r="L104" s="2"/>
    </row>
    <row r="105" spans="1:12" ht="18.75" x14ac:dyDescent="0.25">
      <c r="A105" s="9" t="s">
        <v>84</v>
      </c>
      <c r="B105" s="8"/>
      <c r="C105" s="4"/>
      <c r="D105" s="15" t="s">
        <v>70</v>
      </c>
      <c r="E105" s="41"/>
      <c r="F105" s="41"/>
      <c r="G105" s="13" t="s">
        <v>55</v>
      </c>
      <c r="H105" s="41" t="s">
        <v>139</v>
      </c>
      <c r="I105" s="41" t="s">
        <v>139</v>
      </c>
      <c r="J105" s="13"/>
      <c r="L105" s="2"/>
    </row>
    <row r="106" spans="1:12" ht="18.75" x14ac:dyDescent="0.25">
      <c r="A106" s="9"/>
      <c r="B106" s="8"/>
      <c r="C106" s="4"/>
      <c r="D106" s="15" t="s">
        <v>179</v>
      </c>
      <c r="E106" s="41"/>
      <c r="F106" s="41">
        <f>1</f>
        <v>1</v>
      </c>
      <c r="G106" s="13" t="s">
        <v>31</v>
      </c>
      <c r="H106" s="41">
        <f>6970.2/F106</f>
        <v>6970.2</v>
      </c>
      <c r="I106" s="55">
        <f t="shared" ref="I106:I111" si="9">F106*H106</f>
        <v>6970.2</v>
      </c>
      <c r="J106" s="13" t="s">
        <v>118</v>
      </c>
      <c r="L106" s="2"/>
    </row>
    <row r="107" spans="1:12" ht="18.75" x14ac:dyDescent="0.25">
      <c r="A107" s="9"/>
      <c r="B107" s="8"/>
      <c r="C107" s="4"/>
      <c r="D107" s="15" t="s">
        <v>206</v>
      </c>
      <c r="E107" s="41"/>
      <c r="F107" s="41">
        <f>1+1</f>
        <v>2</v>
      </c>
      <c r="G107" s="13" t="s">
        <v>31</v>
      </c>
      <c r="H107" s="41">
        <f>(1064.4+1221)/F107</f>
        <v>1142.7</v>
      </c>
      <c r="I107" s="55">
        <f t="shared" si="9"/>
        <v>2285.4</v>
      </c>
      <c r="J107" s="13" t="s">
        <v>116</v>
      </c>
      <c r="L107" s="2"/>
    </row>
    <row r="108" spans="1:12" ht="18.75" x14ac:dyDescent="0.25">
      <c r="A108" s="9"/>
      <c r="B108" s="8"/>
      <c r="C108" s="4"/>
      <c r="D108" s="15" t="s">
        <v>222</v>
      </c>
      <c r="E108" s="41"/>
      <c r="F108" s="41">
        <f>1</f>
        <v>1</v>
      </c>
      <c r="G108" s="13" t="s">
        <v>31</v>
      </c>
      <c r="H108" s="41">
        <f>582.2/F108</f>
        <v>582.20000000000005</v>
      </c>
      <c r="I108" s="55">
        <f t="shared" si="9"/>
        <v>582.20000000000005</v>
      </c>
      <c r="J108" s="13" t="s">
        <v>122</v>
      </c>
      <c r="L108" s="2"/>
    </row>
    <row r="109" spans="1:12" ht="18.75" x14ac:dyDescent="0.25">
      <c r="A109" s="9"/>
      <c r="B109" s="8"/>
      <c r="C109" s="4"/>
      <c r="D109" s="15" t="s">
        <v>223</v>
      </c>
      <c r="E109" s="41"/>
      <c r="F109" s="41">
        <f>1</f>
        <v>1</v>
      </c>
      <c r="G109" s="13" t="s">
        <v>31</v>
      </c>
      <c r="H109" s="41">
        <f>3800.8/F109</f>
        <v>3800.8</v>
      </c>
      <c r="I109" s="55">
        <f t="shared" si="9"/>
        <v>3800.8</v>
      </c>
      <c r="J109" s="13" t="s">
        <v>122</v>
      </c>
      <c r="L109" s="2"/>
    </row>
    <row r="110" spans="1:12" ht="18.75" x14ac:dyDescent="0.25">
      <c r="A110" s="9"/>
      <c r="B110" s="8"/>
      <c r="C110" s="4"/>
      <c r="D110" s="15" t="s">
        <v>224</v>
      </c>
      <c r="E110" s="41"/>
      <c r="F110" s="41">
        <f>1</f>
        <v>1</v>
      </c>
      <c r="G110" s="13" t="s">
        <v>31</v>
      </c>
      <c r="H110" s="41">
        <f>887.2/F110</f>
        <v>887.2</v>
      </c>
      <c r="I110" s="55">
        <f t="shared" si="9"/>
        <v>887.2</v>
      </c>
      <c r="J110" s="13" t="s">
        <v>122</v>
      </c>
      <c r="L110" s="2"/>
    </row>
    <row r="111" spans="1:12" ht="18.75" x14ac:dyDescent="0.25">
      <c r="A111" s="9"/>
      <c r="B111" s="8"/>
      <c r="C111" s="4"/>
      <c r="D111" s="15" t="s">
        <v>225</v>
      </c>
      <c r="E111" s="41"/>
      <c r="F111" s="41">
        <f>1</f>
        <v>1</v>
      </c>
      <c r="G111" s="13" t="s">
        <v>31</v>
      </c>
      <c r="H111" s="41">
        <f>6406.2/F111</f>
        <v>6406.2</v>
      </c>
      <c r="I111" s="55">
        <f t="shared" si="9"/>
        <v>6406.2</v>
      </c>
      <c r="J111" s="13" t="s">
        <v>122</v>
      </c>
      <c r="L111" s="2"/>
    </row>
    <row r="112" spans="1:12" ht="31.5" x14ac:dyDescent="0.25">
      <c r="A112" s="9" t="s">
        <v>21</v>
      </c>
      <c r="B112" s="8"/>
      <c r="C112" s="4"/>
      <c r="D112" s="15" t="s">
        <v>71</v>
      </c>
      <c r="E112" s="41" t="s">
        <v>139</v>
      </c>
      <c r="F112" s="41" t="s">
        <v>139</v>
      </c>
      <c r="G112" s="13" t="s">
        <v>143</v>
      </c>
      <c r="H112" s="41" t="s">
        <v>139</v>
      </c>
      <c r="I112" s="41" t="s">
        <v>139</v>
      </c>
      <c r="J112" s="13"/>
      <c r="L112" s="2"/>
    </row>
    <row r="113" spans="1:12" ht="18.75" x14ac:dyDescent="0.25">
      <c r="A113" s="46"/>
      <c r="B113" s="47"/>
      <c r="C113" s="22"/>
      <c r="D113" s="30"/>
      <c r="E113" s="45"/>
      <c r="F113" s="45"/>
      <c r="G113" s="31"/>
      <c r="H113" s="41"/>
      <c r="I113" s="44">
        <f>SUM(I97:I112)</f>
        <v>165170.06666666671</v>
      </c>
      <c r="J113" s="13"/>
      <c r="L113" s="2"/>
    </row>
    <row r="114" spans="1:12" ht="18.75" x14ac:dyDescent="0.3">
      <c r="A114" s="69" t="s">
        <v>73</v>
      </c>
      <c r="B114" s="70"/>
      <c r="C114" s="70"/>
      <c r="D114" s="70"/>
      <c r="E114" s="70"/>
      <c r="F114" s="70"/>
      <c r="G114" s="71"/>
      <c r="H114" s="13"/>
      <c r="I114" s="5"/>
      <c r="J114" s="13"/>
      <c r="L114" s="2"/>
    </row>
    <row r="115" spans="1:12" ht="37.5" x14ac:dyDescent="0.25">
      <c r="A115" s="9" t="s">
        <v>93</v>
      </c>
      <c r="B115" s="8"/>
      <c r="C115" s="4"/>
      <c r="D115" s="4" t="s">
        <v>129</v>
      </c>
      <c r="E115" s="31"/>
      <c r="F115" s="13">
        <f>4+4+4+2+2+6+8+20+16+2</f>
        <v>68</v>
      </c>
      <c r="G115" s="13" t="s">
        <v>115</v>
      </c>
      <c r="H115" s="33">
        <f>(2808.4+2804.4+2828+1412.8+1468+4405.2+5873.2+14869.6+11894.4+1486.6)/F115/3</f>
        <v>244.36568627450981</v>
      </c>
      <c r="I115" s="33">
        <f>F115*H115</f>
        <v>16616.866666666669</v>
      </c>
      <c r="J115" s="13" t="s">
        <v>116</v>
      </c>
      <c r="L115" s="2"/>
    </row>
    <row r="116" spans="1:12" ht="31.5" x14ac:dyDescent="0.25">
      <c r="A116" s="9"/>
      <c r="B116" s="8"/>
      <c r="C116" s="4"/>
      <c r="D116" s="15" t="s">
        <v>158</v>
      </c>
      <c r="E116" s="41"/>
      <c r="F116" s="41">
        <f>1+1</f>
        <v>2</v>
      </c>
      <c r="G116" s="13" t="s">
        <v>30</v>
      </c>
      <c r="H116" s="41">
        <f>(325.4+344.8)/F116</f>
        <v>335.1</v>
      </c>
      <c r="I116" s="55">
        <f>F116*H116</f>
        <v>670.2</v>
      </c>
      <c r="J116" s="13" t="s">
        <v>116</v>
      </c>
      <c r="L116" s="2"/>
    </row>
    <row r="117" spans="1:12" ht="78.75" x14ac:dyDescent="0.25">
      <c r="A117" s="9"/>
      <c r="B117" s="8"/>
      <c r="C117" s="4"/>
      <c r="D117" s="15" t="s">
        <v>170</v>
      </c>
      <c r="E117" s="41"/>
      <c r="F117" s="41">
        <f>4</f>
        <v>4</v>
      </c>
      <c r="G117" s="13" t="s">
        <v>157</v>
      </c>
      <c r="H117" s="41">
        <f>149.2/F117</f>
        <v>37.299999999999997</v>
      </c>
      <c r="I117" s="63">
        <f>F117*H117</f>
        <v>149.19999999999999</v>
      </c>
      <c r="J117" s="13" t="s">
        <v>121</v>
      </c>
      <c r="L117" s="2"/>
    </row>
    <row r="118" spans="1:12" ht="47.25" x14ac:dyDescent="0.25">
      <c r="A118" s="9"/>
      <c r="B118" s="8"/>
      <c r="C118" s="4"/>
      <c r="D118" s="15" t="s">
        <v>150</v>
      </c>
      <c r="E118" s="41"/>
      <c r="F118" s="41">
        <v>1</v>
      </c>
      <c r="G118" s="13" t="s">
        <v>30</v>
      </c>
      <c r="H118" s="41">
        <f>2708.2/F118</f>
        <v>2708.2</v>
      </c>
      <c r="I118" s="63">
        <f>F118*H118</f>
        <v>2708.2</v>
      </c>
      <c r="J118" s="13" t="s">
        <v>121</v>
      </c>
      <c r="L118" s="2"/>
    </row>
    <row r="119" spans="1:12" ht="78.75" x14ac:dyDescent="0.25">
      <c r="A119" s="9"/>
      <c r="B119" s="8"/>
      <c r="C119" s="4"/>
      <c r="D119" s="15" t="s">
        <v>159</v>
      </c>
      <c r="E119" s="41"/>
      <c r="F119" s="41">
        <v>2</v>
      </c>
      <c r="G119" s="13" t="s">
        <v>157</v>
      </c>
      <c r="H119" s="44">
        <f>85.8/F119</f>
        <v>42.9</v>
      </c>
      <c r="I119" s="55">
        <f t="shared" ref="I119:I120" si="10">F119*H119</f>
        <v>85.8</v>
      </c>
      <c r="J119" s="13" t="s">
        <v>116</v>
      </c>
      <c r="L119" s="2"/>
    </row>
    <row r="120" spans="1:12" ht="47.25" x14ac:dyDescent="0.25">
      <c r="A120" s="9"/>
      <c r="B120" s="8"/>
      <c r="C120" s="4"/>
      <c r="D120" s="15" t="s">
        <v>201</v>
      </c>
      <c r="E120" s="41"/>
      <c r="F120" s="41">
        <v>1</v>
      </c>
      <c r="G120" s="13" t="s">
        <v>30</v>
      </c>
      <c r="H120" s="41">
        <f>618.4/F120</f>
        <v>618.4</v>
      </c>
      <c r="I120" s="55">
        <f t="shared" si="10"/>
        <v>618.4</v>
      </c>
      <c r="J120" s="13" t="s">
        <v>116</v>
      </c>
      <c r="L120" s="2"/>
    </row>
    <row r="121" spans="1:12" ht="31.5" x14ac:dyDescent="0.25">
      <c r="A121" s="9"/>
      <c r="B121" s="8"/>
      <c r="C121" s="4"/>
      <c r="D121" s="15" t="s">
        <v>190</v>
      </c>
      <c r="E121" s="41" t="s">
        <v>139</v>
      </c>
      <c r="F121" s="41">
        <f>4</f>
        <v>4</v>
      </c>
      <c r="G121" s="13" t="s">
        <v>30</v>
      </c>
      <c r="H121" s="41">
        <f>12466.8/F121</f>
        <v>3116.7</v>
      </c>
      <c r="I121" s="63">
        <f>F121*H121</f>
        <v>12466.8</v>
      </c>
      <c r="J121" s="13" t="s">
        <v>121</v>
      </c>
      <c r="L121" s="2"/>
    </row>
    <row r="122" spans="1:12" ht="31.5" x14ac:dyDescent="0.25">
      <c r="A122" s="9"/>
      <c r="B122" s="8"/>
      <c r="C122" s="4"/>
      <c r="D122" s="15" t="s">
        <v>162</v>
      </c>
      <c r="E122" s="41" t="s">
        <v>139</v>
      </c>
      <c r="F122" s="41">
        <f>1</f>
        <v>1</v>
      </c>
      <c r="G122" s="13" t="s">
        <v>151</v>
      </c>
      <c r="H122" s="41">
        <f>7522.6/F122</f>
        <v>7522.6</v>
      </c>
      <c r="I122" s="55">
        <f>F122*H122</f>
        <v>7522.6</v>
      </c>
      <c r="J122" s="13" t="s">
        <v>121</v>
      </c>
      <c r="L122" s="2"/>
    </row>
    <row r="123" spans="1:12" ht="18.75" x14ac:dyDescent="0.25">
      <c r="A123" s="9" t="s">
        <v>84</v>
      </c>
      <c r="B123" s="8"/>
      <c r="C123" s="4"/>
      <c r="D123" s="15" t="s">
        <v>70</v>
      </c>
      <c r="E123" s="41" t="s">
        <v>139</v>
      </c>
      <c r="F123" s="41" t="s">
        <v>139</v>
      </c>
      <c r="G123" s="14" t="s">
        <v>55</v>
      </c>
      <c r="H123" s="41"/>
      <c r="I123" s="41" t="s">
        <v>139</v>
      </c>
      <c r="J123" s="13"/>
      <c r="L123" s="2"/>
    </row>
    <row r="124" spans="1:12" ht="18.75" x14ac:dyDescent="0.25">
      <c r="A124" s="9"/>
      <c r="B124" s="8"/>
      <c r="C124" s="4"/>
      <c r="D124" s="15" t="s">
        <v>227</v>
      </c>
      <c r="E124" s="41"/>
      <c r="F124" s="41">
        <f>6+8+1</f>
        <v>15</v>
      </c>
      <c r="G124" s="13" t="s">
        <v>31</v>
      </c>
      <c r="H124" s="41">
        <f>(7253.4+14131.6+1779.8)/F124</f>
        <v>1544.32</v>
      </c>
      <c r="I124" s="55">
        <f>F124*H124</f>
        <v>23164.799999999999</v>
      </c>
      <c r="J124" s="13" t="s">
        <v>121</v>
      </c>
      <c r="L124" s="2"/>
    </row>
    <row r="125" spans="1:12" ht="31.5" x14ac:dyDescent="0.25">
      <c r="A125" s="9" t="s">
        <v>21</v>
      </c>
      <c r="B125" s="8"/>
      <c r="C125" s="4"/>
      <c r="D125" s="15" t="s">
        <v>71</v>
      </c>
      <c r="E125" s="41" t="s">
        <v>139</v>
      </c>
      <c r="F125" s="41" t="s">
        <v>139</v>
      </c>
      <c r="G125" s="14" t="s">
        <v>55</v>
      </c>
      <c r="H125" s="41" t="s">
        <v>139</v>
      </c>
      <c r="I125" s="41" t="s">
        <v>139</v>
      </c>
      <c r="J125" s="13"/>
      <c r="L125" s="2"/>
    </row>
    <row r="126" spans="1:12" ht="18.75" x14ac:dyDescent="0.25">
      <c r="A126" s="46"/>
      <c r="B126" s="47"/>
      <c r="C126" s="22"/>
      <c r="D126" s="30"/>
      <c r="E126" s="45"/>
      <c r="F126" s="45"/>
      <c r="G126" s="12"/>
      <c r="H126" s="41"/>
      <c r="I126" s="44">
        <f>SUM(I115:I125)</f>
        <v>64002.866666666669</v>
      </c>
      <c r="J126" s="13"/>
      <c r="L126" s="2"/>
    </row>
    <row r="127" spans="1:12" ht="18.75" x14ac:dyDescent="0.3">
      <c r="A127" s="69" t="s">
        <v>74</v>
      </c>
      <c r="B127" s="70"/>
      <c r="C127" s="70"/>
      <c r="D127" s="70"/>
      <c r="E127" s="70"/>
      <c r="F127" s="70"/>
      <c r="G127" s="71"/>
      <c r="H127" s="19"/>
      <c r="I127" s="5"/>
      <c r="J127" s="13"/>
      <c r="L127" s="2"/>
    </row>
    <row r="128" spans="1:12" ht="37.5" x14ac:dyDescent="0.25">
      <c r="A128" s="9" t="s">
        <v>98</v>
      </c>
      <c r="B128" s="8"/>
      <c r="C128" s="4"/>
      <c r="D128" s="4" t="s">
        <v>130</v>
      </c>
      <c r="E128" s="31"/>
      <c r="F128" s="13">
        <f>4+4+4+2+2+6+8+20+16+2</f>
        <v>68</v>
      </c>
      <c r="G128" s="13" t="s">
        <v>115</v>
      </c>
      <c r="H128" s="33">
        <f>(2808.4+2804.4+2828+1412.8+1468+4405.2+5873.2+14869.6+11894.4+1486.6)/F128/3</f>
        <v>244.36568627450981</v>
      </c>
      <c r="I128" s="33">
        <f>F128*H128</f>
        <v>16616.866666666669</v>
      </c>
      <c r="J128" s="13" t="s">
        <v>116</v>
      </c>
      <c r="L128" s="2"/>
    </row>
    <row r="129" spans="1:12" ht="31.5" x14ac:dyDescent="0.25">
      <c r="A129" s="9"/>
      <c r="B129" s="8"/>
      <c r="C129" s="4"/>
      <c r="D129" s="15" t="s">
        <v>218</v>
      </c>
      <c r="E129" s="41"/>
      <c r="F129" s="41">
        <v>1</v>
      </c>
      <c r="G129" s="13" t="s">
        <v>30</v>
      </c>
      <c r="H129" s="41">
        <f>3215/F129</f>
        <v>3215</v>
      </c>
      <c r="I129" s="55">
        <f>F129*H129</f>
        <v>3215</v>
      </c>
      <c r="J129" s="13" t="s">
        <v>188</v>
      </c>
      <c r="L129" s="2"/>
    </row>
    <row r="130" spans="1:12" ht="18.75" x14ac:dyDescent="0.25">
      <c r="A130" s="9"/>
      <c r="B130" s="8"/>
      <c r="C130" s="4"/>
      <c r="D130" s="4" t="s">
        <v>114</v>
      </c>
      <c r="E130" s="41"/>
      <c r="F130" s="41">
        <f>28+17+24+12+12+24+12+12+10</f>
        <v>151</v>
      </c>
      <c r="G130" s="13" t="s">
        <v>30</v>
      </c>
      <c r="H130" s="44">
        <f>(9360.2+5772.6+8151.8+4247+4247+8496.2+4295.4+4295.4+3581.4)/F130</f>
        <v>347.33112582781462</v>
      </c>
      <c r="I130" s="41">
        <f>F130*H130</f>
        <v>52447.000000000007</v>
      </c>
      <c r="J130" s="13" t="s">
        <v>116</v>
      </c>
      <c r="L130" s="2"/>
    </row>
    <row r="131" spans="1:12" ht="18.75" x14ac:dyDescent="0.25">
      <c r="A131" s="9" t="s">
        <v>22</v>
      </c>
      <c r="B131" s="8"/>
      <c r="C131" s="4"/>
      <c r="D131" s="4" t="s">
        <v>77</v>
      </c>
      <c r="E131" s="41" t="s">
        <v>139</v>
      </c>
      <c r="F131" s="41" t="s">
        <v>139</v>
      </c>
      <c r="G131" s="13" t="s">
        <v>30</v>
      </c>
      <c r="H131" s="41" t="s">
        <v>139</v>
      </c>
      <c r="I131" s="41" t="s">
        <v>139</v>
      </c>
      <c r="J131" s="13"/>
      <c r="L131" s="2"/>
    </row>
    <row r="132" spans="1:12" ht="18.75" x14ac:dyDescent="0.25">
      <c r="A132" s="46"/>
      <c r="B132" s="47"/>
      <c r="C132" s="22"/>
      <c r="D132" s="22"/>
      <c r="E132" s="45"/>
      <c r="F132" s="45"/>
      <c r="G132" s="31"/>
      <c r="H132" s="41"/>
      <c r="I132" s="44">
        <f>SUM(I128:I131)</f>
        <v>72278.866666666669</v>
      </c>
      <c r="J132" s="13"/>
      <c r="L132" s="2"/>
    </row>
    <row r="133" spans="1:12" ht="18.75" x14ac:dyDescent="0.3">
      <c r="A133" s="69" t="s">
        <v>79</v>
      </c>
      <c r="B133" s="70"/>
      <c r="C133" s="70"/>
      <c r="D133" s="70"/>
      <c r="E133" s="70"/>
      <c r="F133" s="70"/>
      <c r="G133" s="71"/>
      <c r="H133" s="5"/>
      <c r="I133" s="5"/>
      <c r="J133" s="13"/>
      <c r="L133" s="2"/>
    </row>
    <row r="134" spans="1:12" ht="38.25" customHeight="1" x14ac:dyDescent="0.25">
      <c r="A134" s="9" t="s">
        <v>23</v>
      </c>
      <c r="B134" s="5"/>
      <c r="C134" s="4"/>
      <c r="D134" s="15" t="s">
        <v>141</v>
      </c>
      <c r="E134" s="41"/>
      <c r="F134" s="41"/>
      <c r="G134" s="13" t="s">
        <v>55</v>
      </c>
      <c r="H134" s="41"/>
      <c r="I134" s="41"/>
      <c r="J134" s="13"/>
      <c r="L134" s="2"/>
    </row>
    <row r="135" spans="1:12" ht="18.75" x14ac:dyDescent="0.25">
      <c r="A135" s="9" t="s">
        <v>24</v>
      </c>
      <c r="B135" s="5"/>
      <c r="C135" s="4"/>
      <c r="D135" s="4" t="s">
        <v>78</v>
      </c>
      <c r="E135" s="41"/>
      <c r="F135" s="41"/>
      <c r="G135" s="13" t="s">
        <v>55</v>
      </c>
      <c r="H135" s="41"/>
      <c r="I135" s="41"/>
      <c r="J135" s="13"/>
      <c r="L135" s="2"/>
    </row>
    <row r="136" spans="1:12" ht="31.5" x14ac:dyDescent="0.25">
      <c r="A136" s="9" t="s">
        <v>127</v>
      </c>
      <c r="B136" s="5"/>
      <c r="C136" s="4"/>
      <c r="D136" s="15" t="s">
        <v>148</v>
      </c>
      <c r="E136" s="41"/>
      <c r="F136" s="41">
        <f>1</f>
        <v>1</v>
      </c>
      <c r="G136" s="13" t="s">
        <v>55</v>
      </c>
      <c r="H136" s="44">
        <f>5608.8/F136</f>
        <v>5608.8</v>
      </c>
      <c r="I136" s="41">
        <f>F136*H136</f>
        <v>5608.8</v>
      </c>
      <c r="J136" s="13" t="s">
        <v>188</v>
      </c>
      <c r="L136" s="2"/>
    </row>
    <row r="137" spans="1:12" ht="18.75" x14ac:dyDescent="0.25">
      <c r="A137" s="9"/>
      <c r="B137" s="5"/>
      <c r="C137" s="4"/>
      <c r="D137" s="15" t="s">
        <v>177</v>
      </c>
      <c r="E137" s="41"/>
      <c r="F137" s="41">
        <f>64</f>
        <v>64</v>
      </c>
      <c r="G137" s="13" t="s">
        <v>146</v>
      </c>
      <c r="H137" s="44">
        <f>15362/F137</f>
        <v>240.03125</v>
      </c>
      <c r="I137" s="55">
        <f>F137*H137</f>
        <v>15362</v>
      </c>
      <c r="J137" s="13" t="s">
        <v>121</v>
      </c>
      <c r="L137" s="2"/>
    </row>
    <row r="138" spans="1:12" ht="18.75" x14ac:dyDescent="0.25">
      <c r="A138" s="9"/>
      <c r="B138" s="5"/>
      <c r="C138" s="4"/>
      <c r="D138" s="15" t="s">
        <v>106</v>
      </c>
      <c r="E138" s="32"/>
      <c r="F138" s="13">
        <f>2+3+10+1</f>
        <v>16</v>
      </c>
      <c r="G138" s="13" t="s">
        <v>55</v>
      </c>
      <c r="H138" s="33">
        <f>(350+527+2775.4+172)/F138</f>
        <v>239.02500000000001</v>
      </c>
      <c r="I138" s="13">
        <f t="shared" ref="I138" si="11">F138*H138</f>
        <v>3824.4</v>
      </c>
      <c r="J138" s="13" t="s">
        <v>116</v>
      </c>
      <c r="L138" s="2"/>
    </row>
    <row r="139" spans="1:12" ht="18.75" x14ac:dyDescent="0.25">
      <c r="A139" s="9"/>
      <c r="B139" s="5"/>
      <c r="C139" s="4"/>
      <c r="D139" s="15" t="s">
        <v>178</v>
      </c>
      <c r="E139" s="41"/>
      <c r="F139" s="41"/>
      <c r="G139" s="13" t="s">
        <v>31</v>
      </c>
      <c r="H139" s="41" t="s">
        <v>139</v>
      </c>
      <c r="I139" s="41" t="s">
        <v>139</v>
      </c>
      <c r="J139" s="13"/>
      <c r="L139" s="2"/>
    </row>
    <row r="140" spans="1:12" ht="56.25" x14ac:dyDescent="0.25">
      <c r="A140" s="9" t="s">
        <v>107</v>
      </c>
      <c r="B140" s="5"/>
      <c r="C140" s="4"/>
      <c r="D140" s="15" t="s">
        <v>125</v>
      </c>
      <c r="E140" s="32"/>
      <c r="F140" s="13">
        <f>45+45+45+45+45+45+45+45+45+45+45+45</f>
        <v>540</v>
      </c>
      <c r="G140" s="13" t="s">
        <v>108</v>
      </c>
      <c r="H140" s="33">
        <f>(4438.8+4438.8+4438.8+4465.4+4465.4+4465.4+4638.8+4638.8+4638.8+4699+4699+4699)/F140</f>
        <v>101.34444444444446</v>
      </c>
      <c r="I140" s="13">
        <f>F140*H140</f>
        <v>54726.000000000007</v>
      </c>
      <c r="J140" s="13" t="s">
        <v>116</v>
      </c>
      <c r="L140" s="2"/>
    </row>
    <row r="141" spans="1:12" ht="18.75" x14ac:dyDescent="0.25">
      <c r="A141" s="46"/>
      <c r="B141" s="22"/>
      <c r="C141" s="22"/>
      <c r="D141" s="30"/>
      <c r="E141" s="48"/>
      <c r="F141" s="49"/>
      <c r="G141" s="31"/>
      <c r="H141" s="31"/>
      <c r="I141" s="13">
        <f>SUM(I134:I140)</f>
        <v>79521.200000000012</v>
      </c>
      <c r="J141" s="13"/>
      <c r="L141" s="2"/>
    </row>
    <row r="142" spans="1:12" ht="18.75" x14ac:dyDescent="0.25">
      <c r="A142" s="76" t="s">
        <v>92</v>
      </c>
      <c r="B142" s="77"/>
      <c r="C142" s="77"/>
      <c r="D142" s="77"/>
      <c r="E142" s="77"/>
      <c r="F142" s="77"/>
      <c r="G142" s="78"/>
      <c r="H142" s="12"/>
      <c r="I142" s="5"/>
      <c r="J142" s="13"/>
      <c r="L142" s="2"/>
    </row>
    <row r="143" spans="1:12" ht="18.75" x14ac:dyDescent="0.25">
      <c r="A143" s="26"/>
      <c r="B143" s="27"/>
      <c r="C143" s="27"/>
      <c r="D143" s="36" t="s">
        <v>117</v>
      </c>
      <c r="E143" s="41"/>
      <c r="F143" s="41">
        <f>1+1</f>
        <v>2</v>
      </c>
      <c r="G143" s="38" t="s">
        <v>31</v>
      </c>
      <c r="H143" s="41"/>
      <c r="I143" s="41">
        <f>F143*H143</f>
        <v>0</v>
      </c>
      <c r="J143" s="13" t="s">
        <v>116</v>
      </c>
      <c r="L143" s="2"/>
    </row>
    <row r="144" spans="1:12" ht="63" x14ac:dyDescent="0.25">
      <c r="A144" s="9" t="s">
        <v>90</v>
      </c>
      <c r="B144" s="22"/>
      <c r="C144" s="22"/>
      <c r="D144" s="23" t="s">
        <v>119</v>
      </c>
      <c r="E144" s="37">
        <v>2102</v>
      </c>
      <c r="F144" s="13">
        <v>2102</v>
      </c>
      <c r="G144" s="31" t="s">
        <v>91</v>
      </c>
      <c r="H144" s="31">
        <v>4.8</v>
      </c>
      <c r="I144" s="13">
        <f>F144*H144*12</f>
        <v>121075.20000000001</v>
      </c>
      <c r="J144" s="13" t="s">
        <v>116</v>
      </c>
      <c r="L144" s="2"/>
    </row>
    <row r="145" spans="1:12" ht="18.75" x14ac:dyDescent="0.25">
      <c r="A145" s="46"/>
      <c r="B145" s="22"/>
      <c r="C145" s="22"/>
      <c r="D145" s="30"/>
      <c r="E145" s="48"/>
      <c r="F145" s="49"/>
      <c r="G145" s="31"/>
      <c r="H145" s="31"/>
      <c r="I145" s="13">
        <f>SUM(I143:I144)</f>
        <v>121075.20000000001</v>
      </c>
      <c r="J145" s="13"/>
      <c r="L145" s="2"/>
    </row>
    <row r="146" spans="1:12" ht="18.75" x14ac:dyDescent="0.3">
      <c r="A146" s="69" t="s">
        <v>80</v>
      </c>
      <c r="B146" s="70"/>
      <c r="C146" s="70"/>
      <c r="D146" s="70"/>
      <c r="E146" s="70"/>
      <c r="F146" s="70"/>
      <c r="G146" s="71"/>
      <c r="H146" s="19"/>
      <c r="I146" s="5"/>
      <c r="J146" s="13"/>
      <c r="L146" s="2"/>
    </row>
    <row r="147" spans="1:12" ht="46.5" customHeight="1" x14ac:dyDescent="0.3">
      <c r="A147" s="34" t="s">
        <v>132</v>
      </c>
      <c r="B147" s="24"/>
      <c r="C147" s="24"/>
      <c r="D147" s="35" t="s">
        <v>131</v>
      </c>
      <c r="E147" s="13">
        <v>378</v>
      </c>
      <c r="F147" s="13">
        <v>378</v>
      </c>
      <c r="G147" s="13" t="s">
        <v>138</v>
      </c>
      <c r="H147" s="13">
        <v>13</v>
      </c>
      <c r="I147" s="13">
        <f>F147*H147*3</f>
        <v>14742</v>
      </c>
      <c r="J147" s="13" t="s">
        <v>164</v>
      </c>
      <c r="L147" s="2"/>
    </row>
    <row r="148" spans="1:12" ht="18.75" x14ac:dyDescent="0.25">
      <c r="A148" s="9" t="s">
        <v>25</v>
      </c>
      <c r="B148" s="5"/>
      <c r="C148" s="4"/>
      <c r="D148" s="4" t="s">
        <v>76</v>
      </c>
      <c r="E148" s="41" t="s">
        <v>139</v>
      </c>
      <c r="F148" s="41" t="s">
        <v>139</v>
      </c>
      <c r="G148" s="14" t="s">
        <v>55</v>
      </c>
      <c r="H148" s="41" t="s">
        <v>139</v>
      </c>
      <c r="I148" s="41" t="s">
        <v>139</v>
      </c>
      <c r="J148" s="13"/>
      <c r="L148" s="2"/>
    </row>
    <row r="149" spans="1:12" ht="47.25" x14ac:dyDescent="0.25">
      <c r="A149" s="9" t="s">
        <v>26</v>
      </c>
      <c r="B149" s="5"/>
      <c r="C149" s="4"/>
      <c r="D149" s="15" t="s">
        <v>28</v>
      </c>
      <c r="E149" s="41" t="s">
        <v>139</v>
      </c>
      <c r="F149" s="41" t="s">
        <v>139</v>
      </c>
      <c r="G149" s="14" t="s">
        <v>55</v>
      </c>
      <c r="H149" s="41" t="s">
        <v>139</v>
      </c>
      <c r="I149" s="41" t="s">
        <v>139</v>
      </c>
      <c r="J149" s="13"/>
      <c r="L149" s="2"/>
    </row>
    <row r="150" spans="1:12" ht="31.5" x14ac:dyDescent="0.25">
      <c r="A150" s="9" t="s">
        <v>27</v>
      </c>
      <c r="B150" s="5"/>
      <c r="C150" s="4"/>
      <c r="D150" s="15" t="s">
        <v>75</v>
      </c>
      <c r="E150" s="41" t="s">
        <v>139</v>
      </c>
      <c r="F150" s="41" t="s">
        <v>139</v>
      </c>
      <c r="G150" s="14" t="s">
        <v>55</v>
      </c>
      <c r="H150" s="41" t="s">
        <v>139</v>
      </c>
      <c r="I150" s="41" t="s">
        <v>139</v>
      </c>
      <c r="J150" s="13"/>
      <c r="L150" s="2"/>
    </row>
    <row r="151" spans="1:12" ht="18.75" x14ac:dyDescent="0.25">
      <c r="A151" s="46"/>
      <c r="B151" s="22"/>
      <c r="C151" s="22"/>
      <c r="D151" s="30"/>
      <c r="E151" s="45"/>
      <c r="F151" s="45"/>
      <c r="G151" s="12"/>
      <c r="H151" s="50"/>
      <c r="I151" s="50">
        <f>SUM(I147:I150)</f>
        <v>14742</v>
      </c>
      <c r="J151" s="51"/>
      <c r="L151" s="2"/>
    </row>
    <row r="152" spans="1:12" ht="18.75" x14ac:dyDescent="0.3">
      <c r="A152" s="69" t="s">
        <v>85</v>
      </c>
      <c r="B152" s="70"/>
      <c r="C152" s="70"/>
      <c r="D152" s="70"/>
      <c r="E152" s="70"/>
      <c r="F152" s="70"/>
      <c r="G152" s="71"/>
      <c r="H152" s="2"/>
      <c r="I152" s="2"/>
      <c r="J152" s="2"/>
      <c r="K152" s="2"/>
      <c r="L152" s="2"/>
    </row>
    <row r="153" spans="1:12" ht="48" x14ac:dyDescent="0.3">
      <c r="A153" s="6" t="s">
        <v>67</v>
      </c>
      <c r="B153" s="6"/>
      <c r="C153" s="4"/>
      <c r="D153" s="15" t="s">
        <v>86</v>
      </c>
      <c r="E153" s="41" t="s">
        <v>139</v>
      </c>
      <c r="F153" s="41">
        <f>4.49</f>
        <v>4.49</v>
      </c>
      <c r="G153" s="13" t="s">
        <v>113</v>
      </c>
      <c r="H153" s="44">
        <f>3395/F153</f>
        <v>756.12472160356344</v>
      </c>
      <c r="I153" s="55">
        <f>F153*H153</f>
        <v>3395</v>
      </c>
      <c r="J153" s="13" t="s">
        <v>118</v>
      </c>
      <c r="L153" s="2"/>
    </row>
    <row r="154" spans="1:12" ht="32.25" x14ac:dyDescent="0.3">
      <c r="A154" s="28"/>
      <c r="B154" s="29"/>
      <c r="C154" s="22"/>
      <c r="D154" s="40" t="s">
        <v>109</v>
      </c>
      <c r="E154" s="41">
        <v>1</v>
      </c>
      <c r="F154" s="41">
        <v>1</v>
      </c>
      <c r="G154" s="13" t="s">
        <v>110</v>
      </c>
      <c r="H154" s="41">
        <v>29636</v>
      </c>
      <c r="I154" s="41">
        <f>F154*H154</f>
        <v>29636</v>
      </c>
      <c r="J154" s="39" t="s">
        <v>118</v>
      </c>
      <c r="L154" s="2"/>
    </row>
    <row r="155" spans="1:12" ht="18.75" x14ac:dyDescent="0.3">
      <c r="A155" s="28"/>
      <c r="B155" s="29"/>
      <c r="C155" s="22"/>
      <c r="D155" s="30"/>
      <c r="E155" s="45"/>
      <c r="F155" s="45"/>
      <c r="G155" s="31"/>
      <c r="H155" s="45"/>
      <c r="I155" s="45">
        <f>SUM(I153:I154)</f>
        <v>33031</v>
      </c>
      <c r="J155" s="52"/>
      <c r="L155" s="2"/>
    </row>
    <row r="156" spans="1:12" ht="18.75" x14ac:dyDescent="0.3">
      <c r="A156" s="69" t="s">
        <v>99</v>
      </c>
      <c r="B156" s="70"/>
      <c r="C156" s="70"/>
      <c r="D156" s="70"/>
      <c r="E156" s="70"/>
      <c r="F156" s="70"/>
      <c r="G156" s="71"/>
      <c r="H156" s="69"/>
      <c r="I156" s="70"/>
      <c r="J156" s="70"/>
      <c r="L156" s="2"/>
    </row>
    <row r="157" spans="1:12" ht="32.25" x14ac:dyDescent="0.3">
      <c r="A157" s="34" t="s">
        <v>147</v>
      </c>
      <c r="B157" s="24"/>
      <c r="C157" s="24"/>
      <c r="D157" s="40" t="s">
        <v>133</v>
      </c>
      <c r="E157" s="13"/>
      <c r="F157" s="13">
        <f>1</f>
        <v>1</v>
      </c>
      <c r="G157" s="13" t="s">
        <v>134</v>
      </c>
      <c r="H157" s="13">
        <f>800/F157</f>
        <v>800</v>
      </c>
      <c r="I157" s="58">
        <f t="shared" ref="I157:I160" si="12">F157*H157</f>
        <v>800</v>
      </c>
      <c r="J157" s="13" t="s">
        <v>124</v>
      </c>
      <c r="L157" s="2"/>
    </row>
    <row r="158" spans="1:12" ht="48" x14ac:dyDescent="0.3">
      <c r="A158" s="24"/>
      <c r="B158" s="24"/>
      <c r="C158" s="24"/>
      <c r="D158" s="40" t="s">
        <v>135</v>
      </c>
      <c r="E158" s="41"/>
      <c r="F158" s="41">
        <f>20+100</f>
        <v>120</v>
      </c>
      <c r="G158" s="13" t="s">
        <v>136</v>
      </c>
      <c r="H158" s="44">
        <f>(14000+70000)/F158</f>
        <v>700</v>
      </c>
      <c r="I158" s="57">
        <f>F158*H158</f>
        <v>84000</v>
      </c>
      <c r="J158" s="13" t="s">
        <v>124</v>
      </c>
      <c r="L158" s="2"/>
    </row>
    <row r="159" spans="1:12" ht="32.25" x14ac:dyDescent="0.3">
      <c r="A159" s="24"/>
      <c r="B159" s="24"/>
      <c r="C159" s="24"/>
      <c r="D159" s="40" t="s">
        <v>186</v>
      </c>
      <c r="E159" s="13"/>
      <c r="F159" s="13">
        <f>390+60+780+90</f>
        <v>1320</v>
      </c>
      <c r="G159" s="13" t="s">
        <v>137</v>
      </c>
      <c r="H159" s="33">
        <f>(17874+2750+35747+4125)/F159</f>
        <v>45.830303030303028</v>
      </c>
      <c r="I159" s="58">
        <f t="shared" si="12"/>
        <v>60496</v>
      </c>
      <c r="J159" s="13" t="s">
        <v>124</v>
      </c>
      <c r="L159" s="2"/>
    </row>
    <row r="160" spans="1:12" ht="32.25" x14ac:dyDescent="0.3">
      <c r="A160" s="24"/>
      <c r="B160" s="24"/>
      <c r="C160" s="24"/>
      <c r="D160" s="40" t="s">
        <v>187</v>
      </c>
      <c r="E160" s="13"/>
      <c r="F160" s="13">
        <f>210</f>
        <v>210</v>
      </c>
      <c r="G160" s="13" t="s">
        <v>137</v>
      </c>
      <c r="H160" s="33">
        <f>9624/F160</f>
        <v>45.828571428571429</v>
      </c>
      <c r="I160" s="58">
        <f t="shared" si="12"/>
        <v>9624</v>
      </c>
      <c r="J160" s="13" t="s">
        <v>124</v>
      </c>
      <c r="L160" s="2"/>
    </row>
    <row r="161" spans="1:12" ht="18.75" x14ac:dyDescent="0.3">
      <c r="A161" s="24"/>
      <c r="B161" s="24"/>
      <c r="C161" s="24"/>
      <c r="D161" s="15" t="s">
        <v>192</v>
      </c>
      <c r="E161" s="41"/>
      <c r="F161" s="41">
        <v>4</v>
      </c>
      <c r="G161" s="13" t="s">
        <v>146</v>
      </c>
      <c r="H161" s="44">
        <f>2955.2/F161</f>
        <v>738.8</v>
      </c>
      <c r="I161" s="57">
        <f t="shared" ref="I161:I168" si="13">F161*H161</f>
        <v>2955.2</v>
      </c>
      <c r="J161" s="13" t="s">
        <v>118</v>
      </c>
      <c r="L161" s="2"/>
    </row>
    <row r="162" spans="1:12" ht="32.25" x14ac:dyDescent="0.3">
      <c r="A162" s="24"/>
      <c r="B162" s="24"/>
      <c r="C162" s="24"/>
      <c r="D162" s="15" t="s">
        <v>228</v>
      </c>
      <c r="E162" s="41"/>
      <c r="F162" s="41">
        <f>2+1+3+1</f>
        <v>7</v>
      </c>
      <c r="G162" s="13" t="s">
        <v>31</v>
      </c>
      <c r="H162" s="44">
        <f>(23703.6+18055+38450.2+18778)/F162</f>
        <v>14140.971428571427</v>
      </c>
      <c r="I162" s="55">
        <f t="shared" si="13"/>
        <v>98986.799999999988</v>
      </c>
      <c r="J162" s="13" t="s">
        <v>118</v>
      </c>
      <c r="L162" s="2"/>
    </row>
    <row r="163" spans="1:12" ht="18.75" x14ac:dyDescent="0.3">
      <c r="A163" s="24"/>
      <c r="B163" s="24"/>
      <c r="C163" s="24"/>
      <c r="D163" s="15" t="s">
        <v>226</v>
      </c>
      <c r="E163" s="41"/>
      <c r="F163" s="41">
        <v>16</v>
      </c>
      <c r="G163" s="13" t="s">
        <v>136</v>
      </c>
      <c r="H163" s="44">
        <f>14549/F163</f>
        <v>909.3125</v>
      </c>
      <c r="I163" s="55">
        <f t="shared" si="13"/>
        <v>14549</v>
      </c>
      <c r="J163" s="13" t="s">
        <v>118</v>
      </c>
      <c r="L163" s="2"/>
    </row>
    <row r="164" spans="1:12" ht="18.75" x14ac:dyDescent="0.3">
      <c r="A164" s="24"/>
      <c r="B164" s="24"/>
      <c r="C164" s="24"/>
      <c r="D164" s="15" t="s">
        <v>230</v>
      </c>
      <c r="E164" s="41"/>
      <c r="F164" s="41">
        <f>1300+600</f>
        <v>1900</v>
      </c>
      <c r="G164" s="13" t="s">
        <v>113</v>
      </c>
      <c r="H164" s="44">
        <f>(11050+5100)/F164</f>
        <v>8.5</v>
      </c>
      <c r="I164" s="55">
        <f t="shared" si="13"/>
        <v>16150</v>
      </c>
      <c r="J164" s="13" t="s">
        <v>122</v>
      </c>
      <c r="L164" s="2"/>
    </row>
    <row r="165" spans="1:12" ht="18.75" x14ac:dyDescent="0.3">
      <c r="A165" s="24"/>
      <c r="B165" s="24"/>
      <c r="C165" s="24"/>
      <c r="D165" s="40" t="s">
        <v>149</v>
      </c>
      <c r="E165" s="41"/>
      <c r="F165" s="41">
        <v>2</v>
      </c>
      <c r="G165" s="13" t="s">
        <v>31</v>
      </c>
      <c r="H165" s="41">
        <f>24062/F165</f>
        <v>12031</v>
      </c>
      <c r="I165" s="63">
        <f t="shared" si="13"/>
        <v>24062</v>
      </c>
      <c r="J165" s="13" t="s">
        <v>122</v>
      </c>
      <c r="L165" s="2"/>
    </row>
    <row r="166" spans="1:12" ht="18.75" x14ac:dyDescent="0.3">
      <c r="A166" s="24"/>
      <c r="B166" s="24"/>
      <c r="C166" s="24"/>
      <c r="D166" s="40" t="s">
        <v>215</v>
      </c>
      <c r="E166" s="41"/>
      <c r="F166" s="41">
        <v>1</v>
      </c>
      <c r="G166" s="13" t="s">
        <v>31</v>
      </c>
      <c r="H166" s="41">
        <f>1404.2/F166</f>
        <v>1404.2</v>
      </c>
      <c r="I166" s="55">
        <f t="shared" si="13"/>
        <v>1404.2</v>
      </c>
      <c r="J166" s="13" t="s">
        <v>118</v>
      </c>
      <c r="L166" s="2"/>
    </row>
    <row r="167" spans="1:12" ht="18.75" x14ac:dyDescent="0.3">
      <c r="A167" s="24"/>
      <c r="B167" s="24"/>
      <c r="C167" s="24"/>
      <c r="D167" s="40" t="s">
        <v>219</v>
      </c>
      <c r="E167" s="41"/>
      <c r="F167" s="41">
        <v>3</v>
      </c>
      <c r="G167" s="13" t="s">
        <v>220</v>
      </c>
      <c r="H167" s="41">
        <f>6638.4/F167</f>
        <v>2212.7999999999997</v>
      </c>
      <c r="I167" s="55">
        <f t="shared" si="13"/>
        <v>6638.4</v>
      </c>
      <c r="J167" s="13" t="s">
        <v>188</v>
      </c>
      <c r="L167" s="2"/>
    </row>
    <row r="168" spans="1:12" ht="18.75" x14ac:dyDescent="0.3">
      <c r="A168" s="24"/>
      <c r="B168" s="24"/>
      <c r="C168" s="24"/>
      <c r="D168" s="40" t="s">
        <v>194</v>
      </c>
      <c r="E168" s="41"/>
      <c r="F168" s="41">
        <v>3</v>
      </c>
      <c r="G168" s="13" t="s">
        <v>31</v>
      </c>
      <c r="H168" s="44">
        <f>2013.8/F168</f>
        <v>671.26666666666665</v>
      </c>
      <c r="I168" s="55">
        <f t="shared" si="13"/>
        <v>2013.8</v>
      </c>
      <c r="J168" s="13" t="s">
        <v>118</v>
      </c>
      <c r="L168" s="2"/>
    </row>
    <row r="169" spans="1:12" ht="18.75" x14ac:dyDescent="0.3">
      <c r="A169" s="24"/>
      <c r="B169" s="24"/>
      <c r="C169" s="24"/>
      <c r="D169" s="40"/>
      <c r="E169" s="41"/>
      <c r="F169" s="41"/>
      <c r="G169" s="13"/>
      <c r="H169" s="44"/>
      <c r="I169" s="57">
        <f>SUM(I157:I168)</f>
        <v>321679.40000000002</v>
      </c>
      <c r="J169" s="13"/>
      <c r="L169" s="2"/>
    </row>
    <row r="170" spans="1:12" ht="18.75" x14ac:dyDescent="0.3">
      <c r="A170" s="60" t="s">
        <v>204</v>
      </c>
      <c r="B170" s="14"/>
      <c r="C170" s="14"/>
      <c r="D170" s="43"/>
      <c r="E170" s="14"/>
      <c r="F170" s="14"/>
      <c r="G170" s="38"/>
      <c r="H170" s="14"/>
      <c r="I170" s="61">
        <f>I6+I7+I8+I22+I23+I29+I30+I41+I42+I43+I44+I45+I46+I47+I48+I49+I50+I52+I54+I55+I56+I57+I58+I59+I61+I62+I63+I64+I65+I68+I69+I79+I81+I82+I83+I84+I85+I86+I87+I88+I89+I91+I94+I98+I99+I100+I101+I102+I103+I106+I107+I108+I109+I110+I111+I116+I117+I118+I119+I120+I121+I122+I124+I129+I137+I153+I157+I158+I159+I160+I161+I162+I163+I164+I165+I166+I167+I168</f>
        <v>2120235.9999999995</v>
      </c>
      <c r="J170" s="14"/>
      <c r="L170" s="2"/>
    </row>
    <row r="171" spans="1:12" ht="15.75" x14ac:dyDescent="0.25">
      <c r="A171" s="53" t="s">
        <v>185</v>
      </c>
      <c r="B171" s="25"/>
      <c r="C171" s="25"/>
      <c r="D171" s="43"/>
      <c r="E171" s="13"/>
      <c r="F171" s="13"/>
      <c r="G171" s="38"/>
      <c r="H171" s="13"/>
      <c r="I171" s="62">
        <f>I17+I38+I73+I95+I113+I126+I132+I141+I145+I151+I155+I169</f>
        <v>2919807.4000000004</v>
      </c>
      <c r="J171" s="14"/>
      <c r="K171" s="2"/>
      <c r="L171" s="2"/>
    </row>
    <row r="172" spans="1:12" ht="99.75" customHeight="1" x14ac:dyDescent="0.25">
      <c r="A172" s="66" t="s">
        <v>105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54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54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54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54"/>
      <c r="H176" s="2"/>
      <c r="I176" s="2"/>
      <c r="J176" s="54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54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 t="s">
        <v>200</v>
      </c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54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</sheetData>
  <mergeCells count="16">
    <mergeCell ref="A172:J172"/>
    <mergeCell ref="A2:J2"/>
    <mergeCell ref="A156:G156"/>
    <mergeCell ref="H156:J156"/>
    <mergeCell ref="I1:J1"/>
    <mergeCell ref="A114:G114"/>
    <mergeCell ref="A133:G133"/>
    <mergeCell ref="A152:G152"/>
    <mergeCell ref="A39:G39"/>
    <mergeCell ref="A18:G18"/>
    <mergeCell ref="A4:G4"/>
    <mergeCell ref="A142:G142"/>
    <mergeCell ref="A74:G74"/>
    <mergeCell ref="A96:G96"/>
    <mergeCell ref="A127:G127"/>
    <mergeCell ref="A146:G146"/>
  </mergeCells>
  <pageMargins left="0.78740157480314965" right="0.70866141732283472" top="0" bottom="0.59055118110236227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2025-01-28T12:36:11Z</cp:lastPrinted>
  <dcterms:created xsi:type="dcterms:W3CDTF">2017-05-29T12:14:13Z</dcterms:created>
  <dcterms:modified xsi:type="dcterms:W3CDTF">2025-03-14T04:40:27Z</dcterms:modified>
</cp:coreProperties>
</file>