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202" i="1" l="1"/>
  <c r="F121" i="1" l="1"/>
  <c r="F137" i="1"/>
  <c r="F56" i="1"/>
  <c r="H56" i="1" s="1"/>
  <c r="H55" i="1"/>
  <c r="I55" i="1" s="1"/>
  <c r="F54" i="1"/>
  <c r="H63" i="1"/>
  <c r="H64" i="1"/>
  <c r="I63" i="1"/>
  <c r="F88" i="1"/>
  <c r="H88" i="1" s="1"/>
  <c r="F87" i="1"/>
  <c r="F59" i="1"/>
  <c r="H59" i="1" s="1"/>
  <c r="F79" i="1"/>
  <c r="H79" i="1" s="1"/>
  <c r="F43" i="1"/>
  <c r="H43" i="1" s="1"/>
  <c r="F200" i="1"/>
  <c r="F199" i="1"/>
  <c r="H199" i="1" s="1"/>
  <c r="F186" i="1"/>
  <c r="H186" i="1" s="1"/>
  <c r="H160" i="1"/>
  <c r="F133" i="1"/>
  <c r="H133" i="1" s="1"/>
  <c r="H130" i="1"/>
  <c r="F127" i="1"/>
  <c r="H127" i="1" s="1"/>
  <c r="F126" i="1"/>
  <c r="H126" i="1" s="1"/>
  <c r="F124" i="1"/>
  <c r="H124" i="1" s="1"/>
  <c r="F170" i="1"/>
  <c r="H170" i="1" s="1"/>
  <c r="F147" i="1"/>
  <c r="H147" i="1" s="1"/>
  <c r="F167" i="1"/>
  <c r="H167" i="1" s="1"/>
  <c r="F166" i="1"/>
  <c r="H166" i="1" s="1"/>
  <c r="H101" i="1"/>
  <c r="H200" i="1" l="1"/>
  <c r="I200" i="1" s="1"/>
  <c r="H87" i="1"/>
  <c r="I87" i="1" s="1"/>
  <c r="H54" i="1"/>
  <c r="I54" i="1" s="1"/>
  <c r="I199" i="1"/>
  <c r="I79" i="1"/>
  <c r="I56" i="1"/>
  <c r="H121" i="1"/>
  <c r="I121" i="1" s="1"/>
  <c r="H137" i="1"/>
  <c r="I137" i="1" s="1"/>
  <c r="I64" i="1"/>
  <c r="I160" i="1"/>
  <c r="I130" i="1"/>
  <c r="F6" i="1"/>
  <c r="H6" i="1" s="1"/>
  <c r="I43" i="1"/>
  <c r="F100" i="1"/>
  <c r="H100" i="1" s="1"/>
  <c r="F148" i="1"/>
  <c r="H148" i="1" s="1"/>
  <c r="F49" i="1" l="1"/>
  <c r="H49" i="1" s="1"/>
  <c r="H53" i="1"/>
  <c r="I53" i="1" s="1"/>
  <c r="H52" i="1"/>
  <c r="I52" i="1" s="1"/>
  <c r="H157" i="1"/>
  <c r="I157" i="1" s="1"/>
  <c r="F150" i="1"/>
  <c r="H150" i="1" s="1"/>
  <c r="F82" i="1" l="1"/>
  <c r="F123" i="1"/>
  <c r="H123" i="1" s="1"/>
  <c r="H193" i="1"/>
  <c r="I193" i="1" s="1"/>
  <c r="H60" i="1" l="1"/>
  <c r="F58" i="1"/>
  <c r="H58" i="1" s="1"/>
  <c r="F77" i="1"/>
  <c r="H77" i="1" s="1"/>
  <c r="F76" i="1"/>
  <c r="H76" i="1" s="1"/>
  <c r="F161" i="1"/>
  <c r="H161" i="1" s="1"/>
  <c r="F159" i="1"/>
  <c r="H159" i="1" s="1"/>
  <c r="F163" i="1"/>
  <c r="H163" i="1" s="1"/>
  <c r="F162" i="1"/>
  <c r="H162" i="1" s="1"/>
  <c r="F93" i="1"/>
  <c r="H93" i="1" s="1"/>
  <c r="F92" i="1"/>
  <c r="H92" i="1" s="1"/>
  <c r="F50" i="1"/>
  <c r="H50" i="1" s="1"/>
  <c r="H98" i="1"/>
  <c r="I98" i="1" s="1"/>
  <c r="F97" i="1"/>
  <c r="H97" i="1" s="1"/>
  <c r="H72" i="1"/>
  <c r="F71" i="1"/>
  <c r="H71" i="1" s="1"/>
  <c r="H74" i="1"/>
  <c r="I74" i="1" s="1"/>
  <c r="H73" i="1"/>
  <c r="F67" i="1"/>
  <c r="H67" i="1" s="1"/>
  <c r="F66" i="1"/>
  <c r="H66" i="1" s="1"/>
  <c r="F65" i="1"/>
  <c r="H65" i="1" s="1"/>
  <c r="F86" i="1"/>
  <c r="H86" i="1" s="1"/>
  <c r="F83" i="1"/>
  <c r="H83" i="1" s="1"/>
  <c r="H82" i="1"/>
  <c r="I82" i="1" s="1"/>
  <c r="H47" i="1"/>
  <c r="I47" i="1" s="1"/>
  <c r="F46" i="1"/>
  <c r="F45" i="1"/>
  <c r="H45" i="1" s="1"/>
  <c r="H31" i="1"/>
  <c r="H30" i="1"/>
  <c r="F22" i="1"/>
  <c r="H22" i="1" s="1"/>
  <c r="F24" i="1"/>
  <c r="H24" i="1" s="1"/>
  <c r="I198" i="1"/>
  <c r="I197" i="1"/>
  <c r="H46" i="1" l="1"/>
  <c r="I46" i="1" s="1"/>
  <c r="I97" i="1"/>
  <c r="F118" i="1"/>
  <c r="H118" i="1" s="1"/>
  <c r="F117" i="1"/>
  <c r="H117" i="1" s="1"/>
  <c r="F106" i="1"/>
  <c r="H106" i="1" s="1"/>
  <c r="I118" i="1" l="1"/>
  <c r="I117" i="1"/>
  <c r="F195" i="1"/>
  <c r="H195" i="1" s="1"/>
  <c r="H194" i="1"/>
  <c r="H26" i="1"/>
  <c r="I26" i="1" s="1"/>
  <c r="F129" i="1"/>
  <c r="H129" i="1" s="1"/>
  <c r="F128" i="1"/>
  <c r="H128" i="1" s="1"/>
  <c r="F125" i="1"/>
  <c r="H125" i="1" s="1"/>
  <c r="F149" i="1"/>
  <c r="H149" i="1" s="1"/>
  <c r="I195" i="1" l="1"/>
  <c r="I149" i="1"/>
  <c r="F13" i="1"/>
  <c r="F196" i="1"/>
  <c r="H196" i="1" s="1"/>
  <c r="F70" i="1"/>
  <c r="H70" i="1" s="1"/>
  <c r="F69" i="1"/>
  <c r="H69" i="1" s="1"/>
  <c r="F192" i="1"/>
  <c r="H192" i="1" s="1"/>
  <c r="H191" i="1"/>
  <c r="F190" i="1"/>
  <c r="H190" i="1" s="1"/>
  <c r="F189" i="1"/>
  <c r="H189" i="1" s="1"/>
  <c r="H188" i="1"/>
  <c r="F51" i="1"/>
  <c r="H51" i="1" s="1"/>
  <c r="I22" i="1"/>
  <c r="H44" i="1"/>
  <c r="H37" i="1"/>
  <c r="I37" i="1" s="1"/>
  <c r="H140" i="1"/>
  <c r="I140" i="1" s="1"/>
  <c r="F139" i="1"/>
  <c r="H139" i="1" s="1"/>
  <c r="I139" i="1" s="1"/>
  <c r="H138" i="1"/>
  <c r="F114" i="1"/>
  <c r="H114" i="1" s="1"/>
  <c r="H110" i="1"/>
  <c r="I110" i="1" s="1"/>
  <c r="F109" i="1"/>
  <c r="H109" i="1" s="1"/>
  <c r="H108" i="1"/>
  <c r="F107" i="1"/>
  <c r="H107" i="1" s="1"/>
  <c r="F113" i="1"/>
  <c r="H113" i="1" s="1"/>
  <c r="H103" i="1"/>
  <c r="H13" i="1" l="1"/>
  <c r="I13" i="1" s="1"/>
  <c r="I24" i="1"/>
  <c r="I45" i="1"/>
  <c r="I76" i="1"/>
  <c r="I196" i="1"/>
  <c r="I70" i="1"/>
  <c r="I77" i="1"/>
  <c r="I138" i="1"/>
  <c r="I109" i="1"/>
  <c r="I108" i="1"/>
  <c r="H99" i="1"/>
  <c r="H42" i="1"/>
  <c r="F155" i="1"/>
  <c r="H155" i="1" l="1"/>
  <c r="I155" i="1" s="1"/>
  <c r="F81" i="1"/>
  <c r="H81" i="1" s="1"/>
  <c r="H85" i="1"/>
  <c r="H84" i="1"/>
  <c r="F131" i="1"/>
  <c r="H131" i="1" s="1"/>
  <c r="F164" i="1"/>
  <c r="H164" i="1" s="1"/>
  <c r="I164" i="1" s="1"/>
  <c r="F7" i="1"/>
  <c r="H7" i="1" s="1"/>
  <c r="F185" i="1"/>
  <c r="H185" i="1" s="1"/>
  <c r="F187" i="1"/>
  <c r="H187" i="1" s="1"/>
  <c r="F104" i="1"/>
  <c r="H104" i="1" s="1"/>
  <c r="F184" i="1"/>
  <c r="H184" i="1" s="1"/>
  <c r="I7" i="1" l="1"/>
  <c r="I6" i="1"/>
  <c r="F151" i="1"/>
  <c r="H151" i="1" s="1"/>
  <c r="I51" i="1" l="1"/>
  <c r="I17" i="1"/>
  <c r="I151" i="1"/>
  <c r="I148" i="1"/>
  <c r="F48" i="1" l="1"/>
  <c r="H48" i="1" s="1"/>
  <c r="I48" i="1" l="1"/>
  <c r="I126" i="1"/>
  <c r="F105" i="1"/>
  <c r="H105" i="1" s="1"/>
  <c r="I106" i="1" l="1"/>
  <c r="I114" i="1"/>
  <c r="I131" i="1"/>
  <c r="I127" i="1"/>
  <c r="I105" i="1"/>
  <c r="I123" i="1"/>
  <c r="F102" i="1"/>
  <c r="H102" i="1" s="1"/>
  <c r="F180" i="1"/>
  <c r="I180" i="1" l="1"/>
  <c r="I192" i="1"/>
  <c r="I191" i="1"/>
  <c r="F61" i="1"/>
  <c r="H61" i="1" s="1"/>
  <c r="I60" i="1"/>
  <c r="I58" i="1"/>
  <c r="F78" i="1"/>
  <c r="H78" i="1" s="1"/>
  <c r="I100" i="1"/>
  <c r="I72" i="1"/>
  <c r="I71" i="1"/>
  <c r="I69" i="1"/>
  <c r="I65" i="1"/>
  <c r="I88" i="1"/>
  <c r="I86" i="1"/>
  <c r="I85" i="1"/>
  <c r="I31" i="1"/>
  <c r="I30" i="1"/>
  <c r="I185" i="1"/>
  <c r="I184" i="1"/>
  <c r="I84" i="1"/>
  <c r="I161" i="1" l="1"/>
  <c r="I73" i="1"/>
  <c r="I50" i="1"/>
  <c r="I81" i="1"/>
  <c r="I67" i="1"/>
  <c r="I78" i="1"/>
  <c r="I92" i="1"/>
  <c r="I59" i="1"/>
  <c r="I61" i="1"/>
  <c r="I93" i="1"/>
  <c r="I44" i="1"/>
  <c r="I162" i="1"/>
  <c r="I83" i="1"/>
  <c r="I99" i="1"/>
  <c r="I124" i="1"/>
  <c r="I66" i="1"/>
  <c r="I163" i="1"/>
  <c r="I159" i="1"/>
  <c r="I128" i="1"/>
  <c r="I186" i="1"/>
  <c r="I129" i="1"/>
  <c r="I187" i="1"/>
  <c r="I38" i="1" l="1"/>
  <c r="I40" i="1" l="1"/>
  <c r="I190" i="1"/>
  <c r="I189" i="1"/>
  <c r="I188" i="1"/>
  <c r="I42" i="1"/>
  <c r="I49" i="1"/>
  <c r="I113" i="1"/>
  <c r="I147" i="1"/>
  <c r="I94" i="1" l="1"/>
  <c r="I107" i="1"/>
  <c r="I194" i="1" l="1"/>
  <c r="I125" i="1"/>
  <c r="I133" i="1"/>
  <c r="I170" i="1"/>
  <c r="I201" i="1" l="1"/>
  <c r="I135" i="1"/>
  <c r="I104" i="1"/>
  <c r="I167" i="1" l="1"/>
  <c r="I181" i="1"/>
  <c r="I182" i="1" s="1"/>
  <c r="I145" i="1"/>
  <c r="I150" i="1"/>
  <c r="I153" i="1" s="1"/>
  <c r="I101" i="1" l="1"/>
  <c r="I103" i="1" l="1"/>
  <c r="I102" i="1"/>
  <c r="I166" i="1"/>
  <c r="I168" i="1" s="1"/>
  <c r="I119" i="1" l="1"/>
  <c r="I174" i="1"/>
  <c r="I178" i="1" s="1"/>
  <c r="I171" i="1"/>
  <c r="I172" i="1" s="1"/>
  <c r="I203" i="1" l="1"/>
</calcChain>
</file>

<file path=xl/sharedStrings.xml><?xml version="1.0" encoding="utf-8"?>
<sst xmlns="http://schemas.openxmlformats.org/spreadsheetml/2006/main" count="702" uniqueCount="271">
  <si>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</si>
  <si>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</si>
  <si>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</si>
  <si>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</si>
  <si>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</si>
  <si>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</si>
  <si>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</si>
  <si>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</si>
  <si>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</si>
  <si>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</si>
  <si>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</si>
  <si>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</si>
  <si>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</si>
  <si>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</si>
  <si>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</si>
  <si>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</si>
  <si>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</si>
  <si>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</si>
  <si>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</si>
  <si>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</si>
  <si>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</si>
  <si>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</si>
  <si>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</si>
  <si>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</si>
  <si>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</si>
  <si>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</si>
  <si>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</si>
  <si>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</si>
  <si>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</si>
  <si>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</si>
  <si>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</si>
  <si>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</si>
  <si>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</si>
  <si>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</si>
  <si>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</si>
  <si>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</si>
  <si>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</si>
  <si>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</si>
  <si>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</si>
  <si>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</si>
  <si>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</si>
  <si>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</si>
  <si>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</si>
  <si>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</si>
  <si>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</si>
  <si>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</si>
  <si>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</si>
  <si>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</si>
  <si>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</si>
  <si>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</si>
  <si>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</si>
  <si>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</si>
  <si>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</si>
  <si>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</si>
  <si>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</si>
  <si>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</si>
  <si>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</si>
  <si>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</si>
  <si>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</si>
  <si>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</si>
  <si>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</si>
  <si>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</si>
  <si>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</si>
  <si>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</si>
  <si>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</si>
  <si>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</si>
  <si>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</si>
  <si>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</si>
  <si>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</si>
  <si>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</si>
  <si>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</si>
  <si>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</si>
  <si>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</si>
  <si>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</si>
  <si>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</si>
  <si>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</si>
  <si>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</si>
  <si>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</si>
  <si>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</si>
  <si>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</si>
  <si>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</si>
  <si>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</si>
  <si>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</si>
  <si>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</si>
  <si>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</si>
  <si>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</si>
  <si>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</si>
  <si>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</si>
  <si>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</si>
  <si>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</si>
  <si>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</si>
  <si>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</si>
  <si>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</si>
  <si>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</si>
  <si>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</si>
  <si>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</si>
  <si>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</si>
  <si>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</si>
  <si>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</si>
  <si>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</si>
  <si>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</si>
  <si>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</si>
  <si>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</si>
  <si>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</si>
  <si>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</si>
  <si>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</si>
  <si>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</si>
  <si>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</si>
  <si>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</si>
  <si>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</si>
  <si>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</si>
  <si>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</si>
  <si>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</si>
  <si>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</si>
  <si>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</si>
  <si>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</si>
  <si>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</si>
  <si>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</si>
  <si>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</si>
  <si>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</si>
  <si>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</si>
  <si>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</si>
  <si>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</si>
  <si>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</si>
  <si>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</si>
  <si>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</si>
  <si>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</si>
  <si>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смена светильников со светодиодными лампами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</si>
  <si>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</si>
  <si>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</si>
  <si>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</si>
  <si>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</si>
  <si>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</si>
  <si>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</si>
  <si>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</si>
  <si>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</si>
  <si>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</si>
  <si>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</si>
  <si>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</si>
  <si>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</si>
  <si>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</si>
  <si>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</si>
  <si>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</si>
  <si>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</si>
  <si>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</si>
  <si>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кг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</si>
  <si>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</si>
  <si>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</si>
  <si>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</si>
  <si>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</si>
  <si>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</si>
  <si>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</si>
  <si>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</si>
  <si>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</si>
  <si>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установка хомутов диаметром трубопроводов до 100мм</t>
  </si>
  <si>
    <t>ремонт приемного клапана мусоропровода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</si>
  <si>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</si>
  <si>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</si>
  <si>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</si>
  <si>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смена кабелей двух-четырехжильных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</si>
  <si>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</si>
  <si>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</si>
  <si>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</si>
  <si>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</si>
  <si>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</si>
  <si>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</si>
  <si>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</si>
  <si>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ламп накаливания</t>
  </si>
  <si>
    <t>водоотлив из подвала электрическими нососами</t>
  </si>
  <si>
    <t>смена сгонов у трубопроводов диам. 20мм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</si>
  <si>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</si>
  <si>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</si>
  <si>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мягкого покрытия кровли в 1 слой</t>
  </si>
  <si>
    <t>установка насосов погружных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</si>
  <si>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</si>
  <si>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</si>
  <si>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установка коробок распаечных</t>
  </si>
  <si>
    <t>ремонт и окраска окон (восстановление фурнитуры и остекления) ручки</t>
  </si>
  <si>
    <t>ремонт и восстановление уплотнения стыков прокладками ПРП в 1 ряд в стенах, насухо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</si>
  <si>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</si>
  <si>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</si>
  <si>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</si>
  <si>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устройство покрытий из керамогранитных плиток размером 30х30см</t>
  </si>
  <si>
    <t>установка и крепление наличников</t>
  </si>
  <si>
    <t>короба пластмассовые шириной до 40мм</t>
  </si>
  <si>
    <t>1,2 квартал</t>
  </si>
  <si>
    <t>установка клапана обратного диам.32мм</t>
  </si>
  <si>
    <t>огрунтовка ранее окрашенных фасадов под окраску перхлорвиниловыми красками простых с земли и лесов</t>
  </si>
  <si>
    <t>окраска перхлорвиниловыми красками по подготовленной поверхности фасадов простых за 1 раз с земли и лесов</t>
  </si>
  <si>
    <t>окраска масляными составами ранее окрашенных больших металлических поверхностей (кроме крыш) за два раза</t>
  </si>
  <si>
    <t>демонтаж светильников для люминесцентных ламп</t>
  </si>
  <si>
    <t xml:space="preserve"> 2 квартал</t>
  </si>
  <si>
    <t>светильник потолочный или настенный с креплением винтами или болтами для помещений с нормальными условиями среды,</t>
  </si>
  <si>
    <t>очистка вручную поверхности потолков от перхлорвиниловых и масляных красок с земли и лесов</t>
  </si>
  <si>
    <t>окраска водно-дисперсионными акриловыми составами улучшенная по штукатурке потолков</t>
  </si>
  <si>
    <t>очистка вручную поверхности стен от перхлорвиниловых и масляных красок с земли и лесов</t>
  </si>
  <si>
    <t>окраска водно-дисперсионными акриловыми составами улучшенная по штукатурке стен за 4 раза</t>
  </si>
  <si>
    <t xml:space="preserve">улучшенная масляная окраска ранее окрашенных стен за два раза с расчисткой старой краски до 10%(сапожок </t>
  </si>
  <si>
    <t xml:space="preserve">окраска масляными составами ранее окрашенных металлических решеток и оград без рельефа за 2 раза( ограждения л/маршей </t>
  </si>
  <si>
    <t>простая масляная окраска ранее окрашенных стен с подготовкой и расчисткой старой краски до 10%(торцов лестничных маршей)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</si>
  <si>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</si>
  <si>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демонтаж ящиков почтовых стальных, окрашенных эмалью с креплением к стенам лестничных клеток</t>
  </si>
  <si>
    <t>установка ящиков почтовых стальных, окрашенных эмалью с креплением к стенам лестничных клеток</t>
  </si>
  <si>
    <t>Улучшенная масляная окраска ранее окрашенных стен за один раз с расчисткой старой краски до 10%(откосы оконные-</t>
  </si>
  <si>
    <t>Улучшенная окраска масляными составами по штукатурке стен</t>
  </si>
  <si>
    <t>установка шайб диаметром трубопроводов до 100мм</t>
  </si>
  <si>
    <t>установка фланцевых соединений на стальных трубопроводах диам. 50мм</t>
  </si>
  <si>
    <t>смена водомера диам 80мм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</si>
  <si>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</si>
  <si>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ул.Заречная, дом 7  на 2024 г.
</t>
  </si>
  <si>
    <t>укладка металлического накладного профиля(порога)</t>
  </si>
  <si>
    <t>разборка покрытий полов из линолеума и релина</t>
  </si>
  <si>
    <t>устройство покрытий из линолеума насухо из готовых ковров на комнату</t>
  </si>
  <si>
    <t>ремонт и окраска дверей (восстановление фурнитуры и остекления) шпингалеты</t>
  </si>
  <si>
    <t>установка рейки-добора</t>
  </si>
  <si>
    <t>изготовление экранов на регистры</t>
  </si>
  <si>
    <t>установка декоративного экрана на регистры отопления</t>
  </si>
  <si>
    <t xml:space="preserve"> смена кранов на шаровые краны диам15,20мм</t>
  </si>
  <si>
    <t>разборка трубопроводов из водогазопроводных труб диам. до 50мм</t>
  </si>
  <si>
    <t>установка обратных клапанов диам. 32 мм</t>
  </si>
  <si>
    <t>выполнение работ по утеплению пространства между корпусами</t>
  </si>
  <si>
    <t>м шва</t>
  </si>
  <si>
    <t>ремонт мест просадок бетоном</t>
  </si>
  <si>
    <t>планировка площадей механизированным способом</t>
  </si>
  <si>
    <t>устройство подстилающих и выравнивающих слоев оснований</t>
  </si>
  <si>
    <t>укладка и полупропитка с применением битума щебеночных покрытий</t>
  </si>
  <si>
    <t>монтаж ограждающих конструкций стен из профилированного листа</t>
  </si>
  <si>
    <t>масляная окраска металлических поверхнстей труб, количество окрасок 2</t>
  </si>
  <si>
    <t>прокладка внутренних трубопроводов водоснабжения и отопления из полипропиленовых труб:диам. 32мм</t>
  </si>
  <si>
    <t>демонтаж приемного клапана мусоропровода</t>
  </si>
  <si>
    <t>монтаж приемного клапана мусоропровода</t>
  </si>
  <si>
    <t>устройство металлических ограждений с поручнем из ПВХ</t>
  </si>
  <si>
    <t>устройство металлических ограждений без поручня</t>
  </si>
  <si>
    <t>сверление отверстий с установкой щита информационного</t>
  </si>
  <si>
    <t>усиление решетки</t>
  </si>
  <si>
    <t>прочистка труб внутренней канализации установкой простого засора</t>
  </si>
  <si>
    <t xml:space="preserve">осмотр холодного водоснабжения </t>
  </si>
  <si>
    <t>контейнер ТКО-0,4м3 с крышкой</t>
  </si>
  <si>
    <t>установка преобразователей</t>
  </si>
  <si>
    <t>установка блоков питания</t>
  </si>
  <si>
    <t>Оказание экспертно-консультационной услуги по проверке правильности составления сметной документации</t>
  </si>
  <si>
    <t>Оказание услуги строительного контроля</t>
  </si>
  <si>
    <t>снятие дверных полотен</t>
  </si>
  <si>
    <t>установка блоков ПВХ (тамбурные двери)</t>
  </si>
  <si>
    <t>разборка покрытий полов из керамических плиток</t>
  </si>
  <si>
    <t>ремонт металлических лестничных решеток</t>
  </si>
  <si>
    <t>укрепление стоек металлических решеток ограждений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</si>
  <si>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</si>
  <si>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поверхностей радиаторов и ребристых труб отопления за 2 раза</t>
  </si>
  <si>
    <t>смена дверных приборов замки врезные(электрические щитки)</t>
  </si>
  <si>
    <t>смена оконных приборов ручки</t>
  </si>
  <si>
    <t>валка деревьев с разделкой древесины и вывозом веток контейнером с утилизацией</t>
  </si>
  <si>
    <t>погрузка при автомобильных перевозках мусора строительного с погрузкой вручную и вывоз контейнером</t>
  </si>
  <si>
    <t>т</t>
  </si>
  <si>
    <t>дверь металлическая размер 940х2030мм(подъезд №6)</t>
  </si>
  <si>
    <t>дверь металлическая размер 1380*2030мм(подъезд №8,9)</t>
  </si>
  <si>
    <t>выполнение работ по герметизации межпанельного шва кв 356</t>
  </si>
  <si>
    <t>смена дверных приборов петли</t>
  </si>
  <si>
    <t>выполнение работ по ремонту кровельного покрытия козырька лоджии кв№69,71,141,105,106</t>
  </si>
  <si>
    <t xml:space="preserve"> смена кранов на шаровые краны диам 20 мм</t>
  </si>
  <si>
    <t>короба пластмассовые шириной до 100мм</t>
  </si>
  <si>
    <t>лифт</t>
  </si>
  <si>
    <t xml:space="preserve">устройство покрытий из линолеума насухо из готовых ковров </t>
  </si>
  <si>
    <t>укладка металлического накладного профиля</t>
  </si>
  <si>
    <t>улучшенная масляная окраска ранее окрашенных окон за два раза с расчичткой старой краски до 10%</t>
  </si>
  <si>
    <t>покрытие поверхностей грунтовкой глубокого проникновения за 1 раз потолков</t>
  </si>
  <si>
    <t>покрытие поверхностей грунтовкой глубокого проникновения за 1 раз стен</t>
  </si>
  <si>
    <t xml:space="preserve">окраска водно-дисперсионными акриловыми составами улучшенная по штукатурке стен </t>
  </si>
  <si>
    <t>масляная окраска металлических поверхностей больших(кроме кровель),количество окрасок 2</t>
  </si>
  <si>
    <t>смена дверных приборов: ручки -скобы</t>
  </si>
  <si>
    <t>обивка дверей кровельной сталью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</si>
</sst>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1" fillId="0" borderId="0" xfId="0" applyNumberFormat="1" applyFont="1"/>
    <xf numFmtId="2" fontId="8" fillId="0" borderId="3" xfId="0" applyNumberFormat="1" applyFont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0"/>
  <sheetViews>
    <sheetView tabSelected="1" topLeftCell="D169" zoomScale="91" zoomScaleNormal="91" workbookViewId="0">
      <selection activeCell="E207" sqref="E207:I21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5" t="s">
        <v>98</v>
      </c>
      <c r="J1" s="75"/>
    </row>
    <row r="2" spans="1:12" ht="70.5" customHeight="1" x14ac:dyDescent="0.25">
      <c r="A2" s="70" t="s">
        <v>209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83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82</v>
      </c>
      <c r="H3" s="21" t="s">
        <v>81</v>
      </c>
      <c r="I3" s="21" t="s">
        <v>102</v>
      </c>
      <c r="J3" s="21" t="s">
        <v>104</v>
      </c>
      <c r="K3" s="2"/>
      <c r="L3" s="2"/>
    </row>
    <row r="4" spans="1:12" ht="18.75" x14ac:dyDescent="0.3">
      <c r="A4" s="76" t="s">
        <v>89</v>
      </c>
      <c r="B4" s="77"/>
      <c r="C4" s="77"/>
      <c r="D4" s="77"/>
      <c r="E4" s="77"/>
      <c r="F4" s="77"/>
      <c r="G4" s="78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172</v>
      </c>
      <c r="E5" s="41" t="s">
        <v>139</v>
      </c>
      <c r="F5" s="41" t="s">
        <v>139</v>
      </c>
      <c r="G5" s="13" t="s">
        <v>114</v>
      </c>
      <c r="H5" s="41" t="s">
        <v>139</v>
      </c>
      <c r="I5" s="41" t="s">
        <v>139</v>
      </c>
      <c r="J5" s="13"/>
      <c r="K5" s="2"/>
      <c r="L5" s="2"/>
    </row>
    <row r="6" spans="1:12" ht="48" x14ac:dyDescent="0.3">
      <c r="A6" s="6"/>
      <c r="B6" s="5"/>
      <c r="C6" s="4"/>
      <c r="D6" s="15" t="s">
        <v>258</v>
      </c>
      <c r="E6" s="41"/>
      <c r="F6" s="41">
        <f>1+1</f>
        <v>2</v>
      </c>
      <c r="G6" s="13" t="s">
        <v>142</v>
      </c>
      <c r="H6" s="41">
        <f>(28600+10000)/F6</f>
        <v>19300</v>
      </c>
      <c r="I6" s="54">
        <f>F6*H6</f>
        <v>38600</v>
      </c>
      <c r="J6" s="13" t="s">
        <v>122</v>
      </c>
      <c r="K6" s="2"/>
      <c r="L6" s="2"/>
    </row>
    <row r="7" spans="1:12" ht="18.75" x14ac:dyDescent="0.3">
      <c r="A7" s="6"/>
      <c r="B7" s="5"/>
      <c r="C7" s="4"/>
      <c r="D7" s="15" t="s">
        <v>121</v>
      </c>
      <c r="E7" s="41"/>
      <c r="F7" s="41">
        <f>30</f>
        <v>30</v>
      </c>
      <c r="G7" s="13" t="s">
        <v>114</v>
      </c>
      <c r="H7" s="41">
        <f>(1060+548.6)/F7</f>
        <v>53.62</v>
      </c>
      <c r="I7" s="54">
        <f>F7*H7</f>
        <v>1608.6</v>
      </c>
      <c r="J7" s="13" t="s">
        <v>122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153</v>
      </c>
      <c r="E8" s="41" t="s">
        <v>139</v>
      </c>
      <c r="F8" s="41" t="s">
        <v>139</v>
      </c>
      <c r="G8" s="13" t="s">
        <v>30</v>
      </c>
      <c r="H8" s="41" t="s">
        <v>139</v>
      </c>
      <c r="I8" s="41" t="s">
        <v>139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139</v>
      </c>
      <c r="F9" s="41" t="s">
        <v>139</v>
      </c>
      <c r="G9" s="13" t="s">
        <v>30</v>
      </c>
      <c r="H9" s="41" t="s">
        <v>139</v>
      </c>
      <c r="I9" s="41" t="s">
        <v>139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139</v>
      </c>
      <c r="F11" s="41" t="s">
        <v>139</v>
      </c>
      <c r="G11" s="13" t="s">
        <v>30</v>
      </c>
      <c r="H11" s="41" t="s">
        <v>139</v>
      </c>
      <c r="I11" s="41" t="s">
        <v>139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88</v>
      </c>
      <c r="E12" s="41" t="s">
        <v>139</v>
      </c>
      <c r="F12" s="41" t="s">
        <v>139</v>
      </c>
      <c r="G12" s="13" t="s">
        <v>31</v>
      </c>
      <c r="H12" s="41" t="s">
        <v>139</v>
      </c>
      <c r="I12" s="41" t="s">
        <v>139</v>
      </c>
      <c r="J12" s="13"/>
      <c r="K12" s="2"/>
      <c r="L12" s="2"/>
    </row>
    <row r="13" spans="1:12" ht="18.75" x14ac:dyDescent="0.3">
      <c r="A13" s="6"/>
      <c r="B13" s="5"/>
      <c r="C13" s="4"/>
      <c r="D13" s="4" t="s">
        <v>234</v>
      </c>
      <c r="E13" s="41"/>
      <c r="F13" s="41">
        <f>5</f>
        <v>5</v>
      </c>
      <c r="G13" s="13" t="s">
        <v>145</v>
      </c>
      <c r="H13" s="41">
        <f>1586.4/F13</f>
        <v>317.28000000000003</v>
      </c>
      <c r="I13" s="54">
        <f>F13*H13</f>
        <v>1586.4</v>
      </c>
      <c r="J13" s="13" t="s">
        <v>119</v>
      </c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139</v>
      </c>
      <c r="F14" s="41" t="s">
        <v>139</v>
      </c>
      <c r="G14" s="14" t="s">
        <v>31</v>
      </c>
      <c r="H14" s="41" t="s">
        <v>139</v>
      </c>
      <c r="I14" s="41" t="s">
        <v>139</v>
      </c>
      <c r="J14" s="13"/>
      <c r="K14" s="2"/>
      <c r="L14" s="2"/>
    </row>
    <row r="15" spans="1:12" ht="32.25" x14ac:dyDescent="0.3">
      <c r="A15" s="6" t="s">
        <v>64</v>
      </c>
      <c r="B15" s="5"/>
      <c r="C15" s="4"/>
      <c r="D15" s="15" t="s">
        <v>53</v>
      </c>
      <c r="E15" s="41" t="s">
        <v>139</v>
      </c>
      <c r="F15" s="41" t="s">
        <v>139</v>
      </c>
      <c r="G15" s="13" t="s">
        <v>30</v>
      </c>
      <c r="H15" s="41" t="s">
        <v>139</v>
      </c>
      <c r="I15" s="41" t="s">
        <v>139</v>
      </c>
      <c r="J15" s="13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139</v>
      </c>
      <c r="F16" s="41" t="s">
        <v>139</v>
      </c>
      <c r="G16" s="13" t="s">
        <v>30</v>
      </c>
      <c r="H16" s="41" t="s">
        <v>139</v>
      </c>
      <c r="I16" s="41" t="s">
        <v>139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5"/>
      <c r="F17" s="45"/>
      <c r="G17" s="31"/>
      <c r="H17" s="41"/>
      <c r="I17" s="41">
        <f>SUM(I6:I16)</f>
        <v>41795</v>
      </c>
      <c r="J17" s="13"/>
      <c r="K17" s="2"/>
      <c r="L17" s="2"/>
    </row>
    <row r="18" spans="1:12" ht="18.75" x14ac:dyDescent="0.3">
      <c r="A18" s="76" t="s">
        <v>57</v>
      </c>
      <c r="B18" s="77"/>
      <c r="C18" s="77"/>
      <c r="D18" s="77"/>
      <c r="E18" s="77"/>
      <c r="F18" s="77"/>
      <c r="G18" s="78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97</v>
      </c>
      <c r="E19" s="41" t="s">
        <v>139</v>
      </c>
      <c r="F19" s="41"/>
      <c r="G19" s="14" t="s">
        <v>55</v>
      </c>
      <c r="H19" s="41"/>
      <c r="I19" s="54"/>
      <c r="J19" s="13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139</v>
      </c>
      <c r="F20" s="41" t="s">
        <v>139</v>
      </c>
      <c r="G20" s="14" t="s">
        <v>54</v>
      </c>
      <c r="H20" s="41" t="s">
        <v>139</v>
      </c>
      <c r="I20" s="41" t="s">
        <v>139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 t="s">
        <v>139</v>
      </c>
      <c r="F21" s="41" t="s">
        <v>139</v>
      </c>
      <c r="G21" s="14" t="s">
        <v>54</v>
      </c>
      <c r="H21" s="41" t="s">
        <v>139</v>
      </c>
      <c r="I21" s="41" t="s">
        <v>139</v>
      </c>
      <c r="J21" s="13"/>
      <c r="K21" s="2"/>
      <c r="L21" s="2"/>
    </row>
    <row r="22" spans="1:12" ht="32.25" x14ac:dyDescent="0.3">
      <c r="A22" s="6"/>
      <c r="B22" s="5"/>
      <c r="C22" s="4"/>
      <c r="D22" s="15" t="s">
        <v>160</v>
      </c>
      <c r="E22" s="41" t="s">
        <v>139</v>
      </c>
      <c r="F22" s="41">
        <f>2+1.5</f>
        <v>3.5</v>
      </c>
      <c r="G22" s="14" t="s">
        <v>91</v>
      </c>
      <c r="H22" s="44">
        <f>(2317.4+1666)/F22</f>
        <v>1138.1142857142856</v>
      </c>
      <c r="I22" s="54">
        <f>F22*H22</f>
        <v>3983.3999999999996</v>
      </c>
      <c r="J22" s="13" t="s">
        <v>123</v>
      </c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139</v>
      </c>
      <c r="F23" s="41" t="s">
        <v>139</v>
      </c>
      <c r="G23" s="14" t="s">
        <v>54</v>
      </c>
      <c r="H23" s="41" t="s">
        <v>139</v>
      </c>
      <c r="I23" s="41" t="s">
        <v>139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222</v>
      </c>
      <c r="E24" s="41"/>
      <c r="F24" s="41">
        <f>2.2+2</f>
        <v>4.2</v>
      </c>
      <c r="G24" s="14" t="s">
        <v>114</v>
      </c>
      <c r="H24" s="44">
        <f>(9486.2+8145.2)/F24</f>
        <v>4197.9523809523807</v>
      </c>
      <c r="I24" s="54">
        <f>F24*H24</f>
        <v>17631.400000000001</v>
      </c>
      <c r="J24" s="13" t="s">
        <v>123</v>
      </c>
      <c r="K24" s="2"/>
      <c r="L24" s="2"/>
    </row>
    <row r="25" spans="1:12" ht="18.75" x14ac:dyDescent="0.3">
      <c r="A25" s="6" t="s">
        <v>11</v>
      </c>
      <c r="B25" s="5"/>
      <c r="C25" s="4"/>
      <c r="D25" s="4" t="s">
        <v>40</v>
      </c>
      <c r="E25" s="41" t="s">
        <v>139</v>
      </c>
      <c r="F25" s="41" t="s">
        <v>139</v>
      </c>
      <c r="G25" s="14" t="s">
        <v>54</v>
      </c>
      <c r="H25" s="41" t="s">
        <v>139</v>
      </c>
      <c r="I25" s="41" t="s">
        <v>139</v>
      </c>
      <c r="J25" s="13"/>
      <c r="K25" s="2"/>
      <c r="L25" s="2"/>
    </row>
    <row r="26" spans="1:12" ht="18.75" x14ac:dyDescent="0.3">
      <c r="A26" s="6"/>
      <c r="B26" s="5"/>
      <c r="C26" s="4"/>
      <c r="D26" s="4" t="s">
        <v>234</v>
      </c>
      <c r="E26" s="41" t="s">
        <v>139</v>
      </c>
      <c r="F26" s="41">
        <v>6.28</v>
      </c>
      <c r="G26" s="14" t="s">
        <v>145</v>
      </c>
      <c r="H26" s="44">
        <f>1888.4/F26</f>
        <v>300.70063694267515</v>
      </c>
      <c r="I26" s="64">
        <f>F26*H26</f>
        <v>1888.4</v>
      </c>
      <c r="J26" s="13" t="s">
        <v>122</v>
      </c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1" t="s">
        <v>139</v>
      </c>
      <c r="F27" s="41" t="s">
        <v>139</v>
      </c>
      <c r="G27" s="13" t="s">
        <v>30</v>
      </c>
      <c r="H27" s="41" t="s">
        <v>139</v>
      </c>
      <c r="I27" s="41" t="s">
        <v>139</v>
      </c>
      <c r="J27" s="13"/>
      <c r="K27" s="2"/>
      <c r="L27" s="2"/>
    </row>
    <row r="28" spans="1:12" ht="24.75" customHeight="1" x14ac:dyDescent="0.3">
      <c r="A28" s="6" t="s">
        <v>12</v>
      </c>
      <c r="B28" s="5"/>
      <c r="C28" s="4"/>
      <c r="D28" s="15" t="s">
        <v>41</v>
      </c>
      <c r="E28" s="41" t="s">
        <v>139</v>
      </c>
      <c r="F28" s="41" t="s">
        <v>139</v>
      </c>
      <c r="G28" s="14" t="s">
        <v>54</v>
      </c>
      <c r="H28" s="41" t="s">
        <v>139</v>
      </c>
      <c r="I28" s="41" t="s">
        <v>139</v>
      </c>
      <c r="J28" s="13"/>
      <c r="K28" s="2"/>
      <c r="L28" s="2"/>
    </row>
    <row r="29" spans="1:12" ht="18.75" x14ac:dyDescent="0.3">
      <c r="A29" s="6" t="s">
        <v>56</v>
      </c>
      <c r="B29" s="5"/>
      <c r="C29" s="4"/>
      <c r="D29" s="15" t="s">
        <v>171</v>
      </c>
      <c r="E29" s="41" t="s">
        <v>139</v>
      </c>
      <c r="F29" s="41" t="s">
        <v>139</v>
      </c>
      <c r="G29" s="14" t="s">
        <v>30</v>
      </c>
      <c r="H29" s="41" t="s">
        <v>139</v>
      </c>
      <c r="I29" s="41" t="s">
        <v>139</v>
      </c>
      <c r="J29" s="13"/>
      <c r="L29" s="2"/>
    </row>
    <row r="30" spans="1:12" ht="48" x14ac:dyDescent="0.3">
      <c r="A30" s="6"/>
      <c r="B30" s="5"/>
      <c r="C30" s="4"/>
      <c r="D30" s="15" t="s">
        <v>187</v>
      </c>
      <c r="E30" s="41"/>
      <c r="F30" s="41">
        <v>19.399999999999999</v>
      </c>
      <c r="G30" s="13" t="s">
        <v>114</v>
      </c>
      <c r="H30" s="44">
        <f>1850.2/F30</f>
        <v>95.37113402061857</v>
      </c>
      <c r="I30" s="54">
        <f>F30*H30</f>
        <v>1850.2</v>
      </c>
      <c r="J30" s="13" t="s">
        <v>123</v>
      </c>
      <c r="L30" s="2"/>
    </row>
    <row r="31" spans="1:12" ht="48.75" customHeight="1" x14ac:dyDescent="0.3">
      <c r="A31" s="6"/>
      <c r="B31" s="5"/>
      <c r="C31" s="4"/>
      <c r="D31" s="15" t="s">
        <v>188</v>
      </c>
      <c r="E31" s="41"/>
      <c r="F31" s="41">
        <v>19.399999999999999</v>
      </c>
      <c r="G31" s="14" t="s">
        <v>114</v>
      </c>
      <c r="H31" s="44">
        <f>2981.6/F31</f>
        <v>153.69072164948454</v>
      </c>
      <c r="I31" s="54">
        <f>F31*H31</f>
        <v>2981.6</v>
      </c>
      <c r="J31" s="13" t="s">
        <v>123</v>
      </c>
      <c r="L31" s="2"/>
    </row>
    <row r="32" spans="1:12" ht="32.25" x14ac:dyDescent="0.3">
      <c r="A32" s="6" t="s">
        <v>58</v>
      </c>
      <c r="B32" s="5"/>
      <c r="C32" s="4"/>
      <c r="D32" s="15" t="s">
        <v>96</v>
      </c>
      <c r="E32" s="41" t="s">
        <v>139</v>
      </c>
      <c r="F32" s="41" t="s">
        <v>139</v>
      </c>
      <c r="G32" s="14" t="s">
        <v>54</v>
      </c>
      <c r="H32" s="41" t="s">
        <v>139</v>
      </c>
      <c r="I32" s="41" t="s">
        <v>139</v>
      </c>
      <c r="J32" s="13"/>
      <c r="L32" s="2"/>
    </row>
    <row r="33" spans="1:12" ht="32.25" x14ac:dyDescent="0.3">
      <c r="A33" s="6" t="s">
        <v>14</v>
      </c>
      <c r="B33" s="5"/>
      <c r="C33" s="4"/>
      <c r="D33" s="15" t="s">
        <v>95</v>
      </c>
      <c r="E33" s="41" t="s">
        <v>139</v>
      </c>
      <c r="F33" s="41" t="s">
        <v>139</v>
      </c>
      <c r="G33" s="14" t="s">
        <v>55</v>
      </c>
      <c r="H33" s="41" t="s">
        <v>139</v>
      </c>
      <c r="I33" s="41" t="s">
        <v>139</v>
      </c>
      <c r="J33" s="13"/>
      <c r="L33" s="2"/>
    </row>
    <row r="34" spans="1:12" ht="18.75" x14ac:dyDescent="0.3">
      <c r="A34" s="6" t="s">
        <v>15</v>
      </c>
      <c r="B34" s="5"/>
      <c r="C34" s="4"/>
      <c r="D34" s="4" t="s">
        <v>43</v>
      </c>
      <c r="E34" s="41"/>
      <c r="F34" s="41"/>
      <c r="G34" s="14" t="s">
        <v>145</v>
      </c>
      <c r="H34" s="41"/>
      <c r="I34" s="41"/>
      <c r="J34" s="13"/>
      <c r="L34" s="2"/>
    </row>
    <row r="35" spans="1:12" ht="18.75" x14ac:dyDescent="0.3">
      <c r="A35" s="6" t="s">
        <v>16</v>
      </c>
      <c r="B35" s="5"/>
      <c r="C35" s="4"/>
      <c r="D35" s="4" t="s">
        <v>44</v>
      </c>
      <c r="E35" s="41"/>
      <c r="F35" s="41"/>
      <c r="G35" s="14" t="s">
        <v>54</v>
      </c>
      <c r="H35" s="41"/>
      <c r="I35" s="41"/>
      <c r="J35" s="13"/>
      <c r="L35" s="2"/>
    </row>
    <row r="36" spans="1:12" ht="18.75" x14ac:dyDescent="0.3">
      <c r="A36" s="6" t="s">
        <v>17</v>
      </c>
      <c r="B36" s="5"/>
      <c r="C36" s="4"/>
      <c r="D36" s="4" t="s">
        <v>45</v>
      </c>
      <c r="E36" s="41"/>
      <c r="F36" s="41"/>
      <c r="G36" s="13" t="s">
        <v>30</v>
      </c>
      <c r="H36" s="41"/>
      <c r="I36" s="41"/>
      <c r="J36" s="13"/>
      <c r="L36" s="2"/>
    </row>
    <row r="37" spans="1:12" ht="32.25" x14ac:dyDescent="0.3">
      <c r="A37" s="6"/>
      <c r="B37" s="5"/>
      <c r="C37" s="4"/>
      <c r="D37" s="15" t="s">
        <v>220</v>
      </c>
      <c r="E37" s="41"/>
      <c r="F37" s="41">
        <v>1</v>
      </c>
      <c r="G37" s="13" t="s">
        <v>142</v>
      </c>
      <c r="H37" s="41">
        <f>20000/F37</f>
        <v>20000</v>
      </c>
      <c r="I37" s="54">
        <f>F37*H37</f>
        <v>20000</v>
      </c>
      <c r="J37" s="13" t="s">
        <v>123</v>
      </c>
      <c r="L37" s="2"/>
    </row>
    <row r="38" spans="1:12" ht="32.25" x14ac:dyDescent="0.3">
      <c r="A38" s="6"/>
      <c r="B38" s="5"/>
      <c r="C38" s="4"/>
      <c r="D38" s="15" t="s">
        <v>256</v>
      </c>
      <c r="E38" s="41"/>
      <c r="F38" s="41">
        <v>1</v>
      </c>
      <c r="G38" s="14" t="s">
        <v>142</v>
      </c>
      <c r="H38" s="41">
        <v>10000</v>
      </c>
      <c r="I38" s="54">
        <f>F38*H38</f>
        <v>10000</v>
      </c>
      <c r="J38" s="13" t="s">
        <v>123</v>
      </c>
      <c r="L38" s="2"/>
    </row>
    <row r="39" spans="1:12" ht="18.75" x14ac:dyDescent="0.3">
      <c r="A39" s="6" t="s">
        <v>18</v>
      </c>
      <c r="B39" s="5"/>
      <c r="C39" s="4"/>
      <c r="D39" s="4" t="s">
        <v>46</v>
      </c>
      <c r="E39" s="41" t="s">
        <v>139</v>
      </c>
      <c r="F39" s="41" t="s">
        <v>139</v>
      </c>
      <c r="G39" s="14" t="s">
        <v>55</v>
      </c>
      <c r="H39" s="41"/>
      <c r="I39" s="41" t="s">
        <v>139</v>
      </c>
      <c r="J39" s="13"/>
      <c r="L39" s="2"/>
    </row>
    <row r="40" spans="1:12" ht="18.75" x14ac:dyDescent="0.3">
      <c r="A40" s="28"/>
      <c r="B40" s="22"/>
      <c r="C40" s="22"/>
      <c r="D40" s="22"/>
      <c r="E40" s="45"/>
      <c r="F40" s="45"/>
      <c r="G40" s="12"/>
      <c r="H40" s="41"/>
      <c r="I40" s="41">
        <f>SUM(I19:I39)</f>
        <v>58335</v>
      </c>
      <c r="J40" s="13"/>
      <c r="L40" s="2"/>
    </row>
    <row r="41" spans="1:12" ht="24" customHeight="1" x14ac:dyDescent="0.3">
      <c r="A41" s="76" t="s">
        <v>87</v>
      </c>
      <c r="B41" s="77"/>
      <c r="C41" s="77"/>
      <c r="D41" s="77"/>
      <c r="E41" s="77"/>
      <c r="F41" s="77"/>
      <c r="G41" s="78"/>
      <c r="H41" s="14"/>
      <c r="I41" s="5"/>
      <c r="J41" s="13"/>
      <c r="L41" s="2"/>
    </row>
    <row r="42" spans="1:12" ht="32.25" customHeight="1" x14ac:dyDescent="0.3">
      <c r="A42" s="6" t="s">
        <v>50</v>
      </c>
      <c r="B42" s="5"/>
      <c r="C42" s="4"/>
      <c r="D42" s="15" t="s">
        <v>213</v>
      </c>
      <c r="E42" s="41"/>
      <c r="F42" s="41">
        <v>2</v>
      </c>
      <c r="G42" s="38" t="s">
        <v>31</v>
      </c>
      <c r="H42" s="44">
        <f>2952.8/F42</f>
        <v>1476.4</v>
      </c>
      <c r="I42" s="54">
        <f t="shared" ref="I42:I51" si="0">F42*H42</f>
        <v>2952.8</v>
      </c>
      <c r="J42" s="13" t="s">
        <v>122</v>
      </c>
      <c r="L42" s="2"/>
    </row>
    <row r="43" spans="1:12" ht="32.25" customHeight="1" x14ac:dyDescent="0.3">
      <c r="A43" s="6"/>
      <c r="B43" s="5"/>
      <c r="C43" s="4"/>
      <c r="D43" s="15" t="s">
        <v>257</v>
      </c>
      <c r="E43" s="41"/>
      <c r="F43" s="41">
        <f>1+2</f>
        <v>3</v>
      </c>
      <c r="G43" s="38" t="s">
        <v>31</v>
      </c>
      <c r="H43" s="44">
        <f>(1079+2155)/F43</f>
        <v>1078</v>
      </c>
      <c r="I43" s="54">
        <f>F43*H43</f>
        <v>3234</v>
      </c>
      <c r="J43" s="13" t="s">
        <v>122</v>
      </c>
      <c r="L43" s="2"/>
    </row>
    <row r="44" spans="1:12" ht="32.25" customHeight="1" x14ac:dyDescent="0.3">
      <c r="A44" s="6"/>
      <c r="B44" s="5"/>
      <c r="C44" s="4"/>
      <c r="D44" s="15" t="s">
        <v>158</v>
      </c>
      <c r="E44" s="41"/>
      <c r="F44" s="41">
        <v>1</v>
      </c>
      <c r="G44" s="38" t="s">
        <v>221</v>
      </c>
      <c r="H44" s="44">
        <f>3523.2/F44</f>
        <v>3523.2</v>
      </c>
      <c r="I44" s="54">
        <f t="shared" si="0"/>
        <v>3523.2</v>
      </c>
      <c r="J44" s="13" t="s">
        <v>148</v>
      </c>
      <c r="L44" s="2"/>
    </row>
    <row r="45" spans="1:12" ht="32.25" customHeight="1" x14ac:dyDescent="0.3">
      <c r="A45" s="6"/>
      <c r="B45" s="5"/>
      <c r="C45" s="4"/>
      <c r="D45" s="15" t="s">
        <v>143</v>
      </c>
      <c r="E45" s="41"/>
      <c r="F45" s="41">
        <f>1+1</f>
        <v>2</v>
      </c>
      <c r="G45" s="13" t="s">
        <v>144</v>
      </c>
      <c r="H45" s="41">
        <f>(1757+1757)/F45</f>
        <v>1757</v>
      </c>
      <c r="I45" s="54">
        <f t="shared" si="0"/>
        <v>3514</v>
      </c>
      <c r="J45" s="13" t="s">
        <v>119</v>
      </c>
      <c r="L45" s="2"/>
    </row>
    <row r="46" spans="1:12" ht="32.25" customHeight="1" x14ac:dyDescent="0.3">
      <c r="A46" s="6"/>
      <c r="B46" s="5"/>
      <c r="C46" s="4"/>
      <c r="D46" s="15" t="s">
        <v>242</v>
      </c>
      <c r="E46" s="41"/>
      <c r="F46" s="41">
        <f>2.8</f>
        <v>2.8</v>
      </c>
      <c r="G46" s="13" t="s">
        <v>114</v>
      </c>
      <c r="H46" s="44">
        <f>952.6/F46</f>
        <v>340.21428571428572</v>
      </c>
      <c r="I46" s="54">
        <f>F46*H46</f>
        <v>952.59999999999991</v>
      </c>
      <c r="J46" s="13" t="s">
        <v>119</v>
      </c>
      <c r="L46" s="2"/>
    </row>
    <row r="47" spans="1:12" ht="32.25" customHeight="1" x14ac:dyDescent="0.3">
      <c r="A47" s="6"/>
      <c r="B47" s="5"/>
      <c r="C47" s="4"/>
      <c r="D47" s="15" t="s">
        <v>243</v>
      </c>
      <c r="E47" s="41"/>
      <c r="F47" s="41">
        <v>2.73</v>
      </c>
      <c r="G47" s="13" t="s">
        <v>114</v>
      </c>
      <c r="H47" s="44">
        <f>86208.2/F47</f>
        <v>31578.095238095237</v>
      </c>
      <c r="I47" s="54">
        <f>F47*H47</f>
        <v>86208.2</v>
      </c>
      <c r="J47" s="13" t="s">
        <v>119</v>
      </c>
      <c r="L47" s="2"/>
    </row>
    <row r="48" spans="1:12" ht="32.25" customHeight="1" x14ac:dyDescent="0.3">
      <c r="A48" s="6"/>
      <c r="B48" s="5"/>
      <c r="C48" s="4"/>
      <c r="D48" s="15" t="s">
        <v>214</v>
      </c>
      <c r="E48" s="41"/>
      <c r="F48" s="41">
        <f>1</f>
        <v>1</v>
      </c>
      <c r="G48" s="13" t="s">
        <v>31</v>
      </c>
      <c r="H48" s="41">
        <f>220/F48</f>
        <v>220</v>
      </c>
      <c r="I48" s="54">
        <f t="shared" si="0"/>
        <v>220</v>
      </c>
      <c r="J48" s="13" t="s">
        <v>122</v>
      </c>
      <c r="L48" s="2"/>
    </row>
    <row r="49" spans="1:12" ht="32.25" customHeight="1" x14ac:dyDescent="0.3">
      <c r="A49" s="6"/>
      <c r="B49" s="5"/>
      <c r="C49" s="4"/>
      <c r="D49" s="15" t="s">
        <v>178</v>
      </c>
      <c r="E49" s="41"/>
      <c r="F49" s="41">
        <f>24+10</f>
        <v>34</v>
      </c>
      <c r="G49" s="13" t="s">
        <v>30</v>
      </c>
      <c r="H49" s="44">
        <f>(6473.2+2709.2)/F49</f>
        <v>270.07058823529411</v>
      </c>
      <c r="I49" s="55">
        <f t="shared" si="0"/>
        <v>9182.4</v>
      </c>
      <c r="J49" s="13" t="s">
        <v>122</v>
      </c>
      <c r="L49" s="2"/>
    </row>
    <row r="50" spans="1:12" ht="54.75" customHeight="1" x14ac:dyDescent="0.3">
      <c r="A50" s="6"/>
      <c r="B50" s="5"/>
      <c r="C50" s="4"/>
      <c r="D50" s="15" t="s">
        <v>189</v>
      </c>
      <c r="E50" s="41"/>
      <c r="F50" s="41">
        <f>6.72+64.68</f>
        <v>71.400000000000006</v>
      </c>
      <c r="G50" s="13" t="s">
        <v>114</v>
      </c>
      <c r="H50" s="44">
        <f>(1647+13991)/F50</f>
        <v>219.01960784313724</v>
      </c>
      <c r="I50" s="54">
        <f t="shared" si="0"/>
        <v>15638</v>
      </c>
      <c r="J50" s="13" t="s">
        <v>123</v>
      </c>
      <c r="L50" s="2"/>
    </row>
    <row r="51" spans="1:12" ht="32.25" customHeight="1" x14ac:dyDescent="0.3">
      <c r="A51" s="6"/>
      <c r="B51" s="5"/>
      <c r="C51" s="4"/>
      <c r="D51" s="15" t="s">
        <v>183</v>
      </c>
      <c r="E51" s="41"/>
      <c r="F51" s="41">
        <f>2.2</f>
        <v>2.2000000000000002</v>
      </c>
      <c r="G51" s="13" t="s">
        <v>146</v>
      </c>
      <c r="H51" s="44">
        <f>306.2/F51</f>
        <v>139.18181818181816</v>
      </c>
      <c r="I51" s="54">
        <f t="shared" si="0"/>
        <v>306.2</v>
      </c>
      <c r="J51" s="13" t="s">
        <v>122</v>
      </c>
      <c r="L51" s="2"/>
    </row>
    <row r="52" spans="1:12" ht="32.25" customHeight="1" x14ac:dyDescent="0.3">
      <c r="A52" s="6"/>
      <c r="B52" s="5"/>
      <c r="C52" s="4"/>
      <c r="D52" s="15" t="s">
        <v>255</v>
      </c>
      <c r="E52" s="41"/>
      <c r="F52" s="41">
        <v>2</v>
      </c>
      <c r="G52" s="13" t="s">
        <v>31</v>
      </c>
      <c r="H52" s="44">
        <f>115600/F52</f>
        <v>57800</v>
      </c>
      <c r="I52" s="54">
        <f>F52*H52</f>
        <v>115600</v>
      </c>
      <c r="J52" s="13" t="s">
        <v>122</v>
      </c>
      <c r="L52" s="2"/>
    </row>
    <row r="53" spans="1:12" ht="32.25" customHeight="1" x14ac:dyDescent="0.3">
      <c r="A53" s="6"/>
      <c r="B53" s="5"/>
      <c r="C53" s="4"/>
      <c r="D53" s="15" t="s">
        <v>254</v>
      </c>
      <c r="E53" s="41"/>
      <c r="F53" s="41">
        <v>1</v>
      </c>
      <c r="G53" s="13" t="s">
        <v>31</v>
      </c>
      <c r="H53" s="44">
        <f>40000/F53</f>
        <v>40000</v>
      </c>
      <c r="I53" s="54">
        <f>F53*H53</f>
        <v>40000</v>
      </c>
      <c r="J53" s="13" t="s">
        <v>122</v>
      </c>
      <c r="L53" s="2"/>
    </row>
    <row r="54" spans="1:12" ht="32.25" customHeight="1" x14ac:dyDescent="0.3">
      <c r="A54" s="6"/>
      <c r="B54" s="5"/>
      <c r="C54" s="4"/>
      <c r="D54" s="15" t="s">
        <v>268</v>
      </c>
      <c r="E54" s="41"/>
      <c r="F54" s="41">
        <f>5.64</f>
        <v>5.64</v>
      </c>
      <c r="G54" s="13" t="s">
        <v>114</v>
      </c>
      <c r="H54" s="44">
        <f>1082.6/F54</f>
        <v>191.95035460992906</v>
      </c>
      <c r="I54" s="54">
        <f>F54*H54</f>
        <v>1082.5999999999999</v>
      </c>
      <c r="J54" s="13" t="s">
        <v>122</v>
      </c>
      <c r="L54" s="2"/>
    </row>
    <row r="55" spans="1:12" ht="32.25" customHeight="1" x14ac:dyDescent="0.3">
      <c r="A55" s="6"/>
      <c r="B55" s="5"/>
      <c r="C55" s="4"/>
      <c r="D55" s="15" t="s">
        <v>269</v>
      </c>
      <c r="E55" s="41"/>
      <c r="F55" s="41">
        <v>2</v>
      </c>
      <c r="G55" s="13" t="s">
        <v>31</v>
      </c>
      <c r="H55" s="44">
        <f>795/F55</f>
        <v>397.5</v>
      </c>
      <c r="I55" s="54">
        <f>F55*H55</f>
        <v>795</v>
      </c>
      <c r="J55" s="13" t="s">
        <v>122</v>
      </c>
      <c r="L55" s="2"/>
    </row>
    <row r="56" spans="1:12" ht="32.25" customHeight="1" x14ac:dyDescent="0.3">
      <c r="A56" s="6"/>
      <c r="B56" s="5"/>
      <c r="C56" s="4"/>
      <c r="D56" s="15" t="s">
        <v>270</v>
      </c>
      <c r="E56" s="41"/>
      <c r="F56" s="41">
        <f>0.9</f>
        <v>0.9</v>
      </c>
      <c r="G56" s="13" t="s">
        <v>114</v>
      </c>
      <c r="H56" s="44">
        <f>143.2/F56</f>
        <v>159.11111111111109</v>
      </c>
      <c r="I56" s="54">
        <f>F56*H56</f>
        <v>143.19999999999999</v>
      </c>
      <c r="J56" s="13" t="s">
        <v>122</v>
      </c>
      <c r="L56" s="2"/>
    </row>
    <row r="57" spans="1:12" ht="32.25" x14ac:dyDescent="0.3">
      <c r="A57" s="6" t="s">
        <v>51</v>
      </c>
      <c r="B57" s="5"/>
      <c r="C57" s="4"/>
      <c r="D57" s="15" t="s">
        <v>177</v>
      </c>
      <c r="E57" s="41"/>
      <c r="F57" s="41"/>
      <c r="G57" s="13" t="s">
        <v>55</v>
      </c>
      <c r="H57" s="41"/>
      <c r="I57" s="41"/>
      <c r="J57" s="13"/>
      <c r="L57" s="2"/>
    </row>
    <row r="58" spans="1:12" ht="18.75" x14ac:dyDescent="0.3">
      <c r="A58" s="6"/>
      <c r="B58" s="5"/>
      <c r="C58" s="4"/>
      <c r="D58" s="15" t="s">
        <v>250</v>
      </c>
      <c r="E58" s="41"/>
      <c r="F58" s="41">
        <f>16</f>
        <v>16</v>
      </c>
      <c r="G58" s="13" t="s">
        <v>31</v>
      </c>
      <c r="H58" s="44">
        <f>7458.6/F58</f>
        <v>466.16250000000002</v>
      </c>
      <c r="I58" s="54">
        <f t="shared" ref="I58:I61" si="1">F58*H58</f>
        <v>7458.6</v>
      </c>
      <c r="J58" s="13" t="s">
        <v>123</v>
      </c>
      <c r="L58" s="2"/>
    </row>
    <row r="59" spans="1:12" ht="48" x14ac:dyDescent="0.3">
      <c r="A59" s="6"/>
      <c r="B59" s="5"/>
      <c r="C59" s="4"/>
      <c r="D59" s="15" t="s">
        <v>264</v>
      </c>
      <c r="E59" s="41"/>
      <c r="F59" s="41">
        <f>2.41</f>
        <v>2.41</v>
      </c>
      <c r="G59" s="13" t="s">
        <v>114</v>
      </c>
      <c r="H59" s="44">
        <f>2187.8/F59</f>
        <v>907.80082987551873</v>
      </c>
      <c r="I59" s="54">
        <f t="shared" si="1"/>
        <v>2187.8000000000002</v>
      </c>
      <c r="J59" s="13" t="s">
        <v>123</v>
      </c>
      <c r="L59" s="2"/>
    </row>
    <row r="60" spans="1:12" ht="48" x14ac:dyDescent="0.3">
      <c r="A60" s="6"/>
      <c r="B60" s="5"/>
      <c r="C60" s="4"/>
      <c r="D60" s="15" t="s">
        <v>203</v>
      </c>
      <c r="E60" s="41"/>
      <c r="F60" s="41">
        <v>7.2</v>
      </c>
      <c r="G60" s="13" t="s">
        <v>114</v>
      </c>
      <c r="H60" s="44">
        <f>2404.2/F60</f>
        <v>333.91666666666663</v>
      </c>
      <c r="I60" s="54">
        <f t="shared" si="1"/>
        <v>2404.1999999999998</v>
      </c>
      <c r="J60" s="13" t="s">
        <v>123</v>
      </c>
      <c r="L60" s="2"/>
    </row>
    <row r="61" spans="1:12" ht="32.25" x14ac:dyDescent="0.3">
      <c r="A61" s="6"/>
      <c r="B61" s="5"/>
      <c r="C61" s="4"/>
      <c r="D61" s="15" t="s">
        <v>204</v>
      </c>
      <c r="E61" s="41"/>
      <c r="F61" s="41">
        <f>3.6</f>
        <v>3.6</v>
      </c>
      <c r="G61" s="13" t="s">
        <v>114</v>
      </c>
      <c r="H61" s="44">
        <f>2468.8/F61</f>
        <v>685.77777777777783</v>
      </c>
      <c r="I61" s="54">
        <f t="shared" si="1"/>
        <v>2468.8000000000002</v>
      </c>
      <c r="J61" s="13" t="s">
        <v>123</v>
      </c>
      <c r="L61" s="2"/>
    </row>
    <row r="62" spans="1:12" ht="32.25" x14ac:dyDescent="0.3">
      <c r="A62" s="6" t="s">
        <v>60</v>
      </c>
      <c r="B62" s="8"/>
      <c r="C62" s="4"/>
      <c r="D62" s="15" t="s">
        <v>47</v>
      </c>
      <c r="E62" s="41" t="s">
        <v>139</v>
      </c>
      <c r="F62" s="41" t="s">
        <v>139</v>
      </c>
      <c r="G62" s="14" t="s">
        <v>54</v>
      </c>
      <c r="H62" s="41" t="s">
        <v>139</v>
      </c>
      <c r="I62" s="41" t="s">
        <v>139</v>
      </c>
      <c r="J62" s="13"/>
      <c r="L62" s="2"/>
    </row>
    <row r="63" spans="1:12" ht="47.25" customHeight="1" x14ac:dyDescent="0.3">
      <c r="A63" s="6"/>
      <c r="B63" s="8"/>
      <c r="C63" s="4"/>
      <c r="D63" s="15" t="s">
        <v>266</v>
      </c>
      <c r="E63" s="41"/>
      <c r="F63" s="41">
        <v>76.03</v>
      </c>
      <c r="G63" s="13" t="s">
        <v>114</v>
      </c>
      <c r="H63" s="44">
        <f>7120.4/F63</f>
        <v>93.652505589898723</v>
      </c>
      <c r="I63" s="54">
        <f>F63*H63</f>
        <v>7120.4</v>
      </c>
      <c r="J63" s="13" t="s">
        <v>123</v>
      </c>
      <c r="L63" s="2"/>
    </row>
    <row r="64" spans="1:12" ht="53.25" customHeight="1" x14ac:dyDescent="0.3">
      <c r="A64" s="6"/>
      <c r="B64" s="8"/>
      <c r="C64" s="4"/>
      <c r="D64" s="15" t="s">
        <v>267</v>
      </c>
      <c r="E64" s="41"/>
      <c r="F64" s="41">
        <v>76.03</v>
      </c>
      <c r="G64" s="13" t="s">
        <v>114</v>
      </c>
      <c r="H64" s="44">
        <f>48963.6/F64</f>
        <v>644.00368275680648</v>
      </c>
      <c r="I64" s="54">
        <f t="shared" ref="I64" si="2">F64*H64</f>
        <v>48963.6</v>
      </c>
      <c r="J64" s="13" t="s">
        <v>123</v>
      </c>
      <c r="L64" s="2"/>
    </row>
    <row r="65" spans="1:12" ht="47.25" customHeight="1" x14ac:dyDescent="0.3">
      <c r="A65" s="6"/>
      <c r="B65" s="8"/>
      <c r="C65" s="4"/>
      <c r="D65" s="15" t="s">
        <v>195</v>
      </c>
      <c r="E65" s="41"/>
      <c r="F65" s="41">
        <f>678.19</f>
        <v>678.19</v>
      </c>
      <c r="G65" s="13" t="s">
        <v>114</v>
      </c>
      <c r="H65" s="44">
        <f>129362.4/F65</f>
        <v>190.74654595319893</v>
      </c>
      <c r="I65" s="54">
        <f t="shared" ref="I65:I66" si="3">F65*H65</f>
        <v>129362.4</v>
      </c>
      <c r="J65" s="13" t="s">
        <v>123</v>
      </c>
      <c r="L65" s="2"/>
    </row>
    <row r="66" spans="1:12" ht="50.25" customHeight="1" x14ac:dyDescent="0.3">
      <c r="A66" s="6"/>
      <c r="B66" s="8"/>
      <c r="C66" s="4"/>
      <c r="D66" s="15" t="s">
        <v>196</v>
      </c>
      <c r="E66" s="41"/>
      <c r="F66" s="41">
        <f>678.19</f>
        <v>678.19</v>
      </c>
      <c r="G66" s="13" t="s">
        <v>114</v>
      </c>
      <c r="H66" s="44">
        <f>432273/F66</f>
        <v>637.39217623379875</v>
      </c>
      <c r="I66" s="54">
        <f t="shared" si="3"/>
        <v>432273</v>
      </c>
      <c r="J66" s="13" t="s">
        <v>123</v>
      </c>
      <c r="L66" s="2"/>
    </row>
    <row r="67" spans="1:12" ht="69" customHeight="1" x14ac:dyDescent="0.3">
      <c r="A67" s="6"/>
      <c r="B67" s="8"/>
      <c r="C67" s="4"/>
      <c r="D67" s="15" t="s">
        <v>197</v>
      </c>
      <c r="E67" s="41"/>
      <c r="F67" s="41">
        <f>21.21</f>
        <v>21.21</v>
      </c>
      <c r="G67" s="13" t="s">
        <v>114</v>
      </c>
      <c r="H67" s="44">
        <f>8010.6/F67</f>
        <v>377.68033946251768</v>
      </c>
      <c r="I67" s="54">
        <f>F67*H67</f>
        <v>8010.6</v>
      </c>
      <c r="J67" s="13" t="s">
        <v>123</v>
      </c>
      <c r="L67" s="2"/>
    </row>
    <row r="68" spans="1:12" ht="18.75" x14ac:dyDescent="0.3">
      <c r="A68" s="6" t="s">
        <v>62</v>
      </c>
      <c r="B68" s="5"/>
      <c r="C68" s="4"/>
      <c r="D68" s="15" t="s">
        <v>52</v>
      </c>
      <c r="E68" s="41" t="s">
        <v>139</v>
      </c>
      <c r="F68" s="41" t="s">
        <v>139</v>
      </c>
      <c r="G68" s="14" t="s">
        <v>54</v>
      </c>
      <c r="H68" s="41" t="s">
        <v>139</v>
      </c>
      <c r="I68" s="41" t="s">
        <v>139</v>
      </c>
      <c r="J68" s="13"/>
      <c r="L68" s="2"/>
    </row>
    <row r="69" spans="1:12" ht="32.25" x14ac:dyDescent="0.3">
      <c r="A69" s="6"/>
      <c r="B69" s="5"/>
      <c r="C69" s="4"/>
      <c r="D69" s="15" t="s">
        <v>231</v>
      </c>
      <c r="E69" s="41"/>
      <c r="F69" s="41">
        <f>3.5</f>
        <v>3.5</v>
      </c>
      <c r="G69" s="14" t="s">
        <v>146</v>
      </c>
      <c r="H69" s="44">
        <f>14314.4/F69</f>
        <v>4089.8285714285712</v>
      </c>
      <c r="I69" s="54">
        <f t="shared" ref="I69:I74" si="4">F69*H69</f>
        <v>14314.4</v>
      </c>
      <c r="J69" s="13" t="s">
        <v>123</v>
      </c>
      <c r="L69" s="2"/>
    </row>
    <row r="70" spans="1:12" ht="32.25" x14ac:dyDescent="0.3">
      <c r="A70" s="6"/>
      <c r="B70" s="5"/>
      <c r="C70" s="4"/>
      <c r="D70" s="15" t="s">
        <v>232</v>
      </c>
      <c r="E70" s="41"/>
      <c r="F70" s="41">
        <f>3.5</f>
        <v>3.5</v>
      </c>
      <c r="G70" s="14" t="s">
        <v>146</v>
      </c>
      <c r="H70" s="44">
        <f>-13115.4/F70</f>
        <v>-3747.2571428571428</v>
      </c>
      <c r="I70" s="54">
        <f t="shared" si="4"/>
        <v>-13115.4</v>
      </c>
      <c r="J70" s="13" t="s">
        <v>123</v>
      </c>
      <c r="L70" s="2"/>
    </row>
    <row r="71" spans="1:12" ht="55.5" customHeight="1" x14ac:dyDescent="0.3">
      <c r="A71" s="6"/>
      <c r="B71" s="5"/>
      <c r="C71" s="4"/>
      <c r="D71" s="15" t="s">
        <v>198</v>
      </c>
      <c r="E71" s="41"/>
      <c r="F71" s="41">
        <f>26.225</f>
        <v>26.225000000000001</v>
      </c>
      <c r="G71" s="13" t="s">
        <v>114</v>
      </c>
      <c r="H71" s="44">
        <f>22079.2/F71</f>
        <v>841.9142040038131</v>
      </c>
      <c r="I71" s="54">
        <f t="shared" si="4"/>
        <v>22079.200000000001</v>
      </c>
      <c r="J71" s="13" t="s">
        <v>123</v>
      </c>
      <c r="L71" s="2"/>
    </row>
    <row r="72" spans="1:12" ht="55.5" customHeight="1" x14ac:dyDescent="0.3">
      <c r="A72" s="6"/>
      <c r="B72" s="5"/>
      <c r="C72" s="4"/>
      <c r="D72" s="15" t="s">
        <v>199</v>
      </c>
      <c r="E72" s="41"/>
      <c r="F72" s="41">
        <v>7.29</v>
      </c>
      <c r="G72" s="13" t="s">
        <v>114</v>
      </c>
      <c r="H72" s="44">
        <f>1843.4/F72</f>
        <v>252.86694101508917</v>
      </c>
      <c r="I72" s="54">
        <f t="shared" si="4"/>
        <v>1843.4</v>
      </c>
      <c r="J72" s="13" t="s">
        <v>123</v>
      </c>
      <c r="L72" s="2"/>
    </row>
    <row r="73" spans="1:12" ht="18.75" x14ac:dyDescent="0.3">
      <c r="A73" s="6"/>
      <c r="B73" s="5"/>
      <c r="C73" s="4"/>
      <c r="D73" s="15" t="s">
        <v>245</v>
      </c>
      <c r="E73" s="41"/>
      <c r="F73" s="41">
        <v>8.1</v>
      </c>
      <c r="G73" s="14" t="s">
        <v>146</v>
      </c>
      <c r="H73" s="44">
        <f>1288.4/F73</f>
        <v>159.06172839506175</v>
      </c>
      <c r="I73" s="54">
        <f t="shared" si="4"/>
        <v>1288.4000000000001</v>
      </c>
      <c r="J73" s="13" t="s">
        <v>148</v>
      </c>
      <c r="L73" s="2"/>
    </row>
    <row r="74" spans="1:12" ht="32.25" x14ac:dyDescent="0.3">
      <c r="A74" s="6"/>
      <c r="B74" s="5"/>
      <c r="C74" s="4"/>
      <c r="D74" s="15" t="s">
        <v>246</v>
      </c>
      <c r="E74" s="41"/>
      <c r="F74" s="41">
        <v>7</v>
      </c>
      <c r="G74" s="14" t="s">
        <v>146</v>
      </c>
      <c r="H74" s="44">
        <f>2209.6/F74</f>
        <v>315.65714285714284</v>
      </c>
      <c r="I74" s="54">
        <f t="shared" si="4"/>
        <v>2209.6</v>
      </c>
      <c r="J74" s="13"/>
      <c r="L74" s="2"/>
    </row>
    <row r="75" spans="1:12" ht="32.25" x14ac:dyDescent="0.3">
      <c r="A75" s="6" t="s">
        <v>63</v>
      </c>
      <c r="B75" s="5"/>
      <c r="C75" s="4"/>
      <c r="D75" s="15" t="s">
        <v>65</v>
      </c>
      <c r="E75" s="41" t="s">
        <v>139</v>
      </c>
      <c r="F75" s="41" t="s">
        <v>139</v>
      </c>
      <c r="G75" s="13" t="s">
        <v>30</v>
      </c>
      <c r="H75" s="41" t="s">
        <v>139</v>
      </c>
      <c r="I75" s="41" t="s">
        <v>139</v>
      </c>
      <c r="J75" s="13"/>
      <c r="L75" s="2"/>
    </row>
    <row r="76" spans="1:12" ht="18.75" x14ac:dyDescent="0.3">
      <c r="A76" s="6"/>
      <c r="B76" s="5"/>
      <c r="C76" s="4"/>
      <c r="D76" s="15" t="s">
        <v>229</v>
      </c>
      <c r="E76" s="41"/>
      <c r="F76" s="41">
        <f>2+3</f>
        <v>5</v>
      </c>
      <c r="G76" s="13" t="s">
        <v>31</v>
      </c>
      <c r="H76" s="41">
        <f>(1465.4+2197.8)/F76</f>
        <v>732.6400000000001</v>
      </c>
      <c r="I76" s="54">
        <f>F76*H76</f>
        <v>3663.2000000000007</v>
      </c>
      <c r="J76" s="13" t="s">
        <v>119</v>
      </c>
      <c r="L76" s="2"/>
    </row>
    <row r="77" spans="1:12" ht="18.75" x14ac:dyDescent="0.3">
      <c r="A77" s="6"/>
      <c r="B77" s="5"/>
      <c r="C77" s="4"/>
      <c r="D77" s="15" t="s">
        <v>230</v>
      </c>
      <c r="E77" s="41"/>
      <c r="F77" s="41">
        <f>2+3</f>
        <v>5</v>
      </c>
      <c r="G77" s="13" t="s">
        <v>31</v>
      </c>
      <c r="H77" s="41">
        <f>(10812.2+16219.6)/F77</f>
        <v>5406.3600000000006</v>
      </c>
      <c r="I77" s="54">
        <f>F77*H77</f>
        <v>27031.800000000003</v>
      </c>
      <c r="J77" s="13" t="s">
        <v>119</v>
      </c>
      <c r="L77" s="2"/>
    </row>
    <row r="78" spans="1:12" ht="80.25" customHeight="1" x14ac:dyDescent="0.3">
      <c r="A78" s="6"/>
      <c r="B78" s="5"/>
      <c r="C78" s="4"/>
      <c r="D78" s="15" t="s">
        <v>200</v>
      </c>
      <c r="E78" s="41"/>
      <c r="F78" s="41">
        <f>19.26</f>
        <v>19.260000000000002</v>
      </c>
      <c r="G78" s="13" t="s">
        <v>114</v>
      </c>
      <c r="H78" s="44">
        <f>15481.4/F78</f>
        <v>803.81100726895113</v>
      </c>
      <c r="I78" s="54">
        <f>F78*H78</f>
        <v>15481.4</v>
      </c>
      <c r="J78" s="13" t="s">
        <v>123</v>
      </c>
      <c r="L78" s="2"/>
    </row>
    <row r="79" spans="1:12" ht="18.75" x14ac:dyDescent="0.3">
      <c r="A79" s="6"/>
      <c r="B79" s="5"/>
      <c r="C79" s="4"/>
      <c r="D79" s="15" t="s">
        <v>155</v>
      </c>
      <c r="E79" s="41" t="s">
        <v>139</v>
      </c>
      <c r="F79" s="41">
        <f>2</f>
        <v>2</v>
      </c>
      <c r="G79" s="13" t="s">
        <v>31</v>
      </c>
      <c r="H79" s="41">
        <f>2108.4/F79</f>
        <v>1054.2</v>
      </c>
      <c r="I79" s="64">
        <f>F79*H79</f>
        <v>2108.4</v>
      </c>
      <c r="J79" s="13" t="s">
        <v>122</v>
      </c>
      <c r="L79" s="2"/>
    </row>
    <row r="80" spans="1:12" ht="18.75" x14ac:dyDescent="0.3">
      <c r="A80" s="6" t="s">
        <v>59</v>
      </c>
      <c r="B80" s="8"/>
      <c r="C80" s="4"/>
      <c r="D80" s="4" t="s">
        <v>48</v>
      </c>
      <c r="E80" s="41" t="s">
        <v>139</v>
      </c>
      <c r="F80" s="41" t="s">
        <v>139</v>
      </c>
      <c r="G80" s="14" t="s">
        <v>54</v>
      </c>
      <c r="H80" s="41"/>
      <c r="I80" s="41" t="s">
        <v>139</v>
      </c>
      <c r="J80" s="13"/>
      <c r="L80" s="2"/>
    </row>
    <row r="81" spans="1:12" ht="32.25" x14ac:dyDescent="0.3">
      <c r="A81" s="6"/>
      <c r="B81" s="8"/>
      <c r="C81" s="4"/>
      <c r="D81" s="15" t="s">
        <v>210</v>
      </c>
      <c r="E81" s="41"/>
      <c r="F81" s="41">
        <f>5.4+7.2</f>
        <v>12.600000000000001</v>
      </c>
      <c r="G81" s="14" t="s">
        <v>146</v>
      </c>
      <c r="H81" s="44">
        <f>(2651.8+2484.6)/F81</f>
        <v>407.65079365079356</v>
      </c>
      <c r="I81" s="54">
        <f>F81*H81</f>
        <v>5136.3999999999996</v>
      </c>
      <c r="J81" s="13" t="s">
        <v>123</v>
      </c>
      <c r="L81" s="2"/>
    </row>
    <row r="82" spans="1:12" ht="32.25" x14ac:dyDescent="0.3">
      <c r="A82" s="6"/>
      <c r="B82" s="8"/>
      <c r="C82" s="4"/>
      <c r="D82" s="15" t="s">
        <v>244</v>
      </c>
      <c r="E82" s="41"/>
      <c r="F82" s="41">
        <f>5.68</f>
        <v>5.68</v>
      </c>
      <c r="G82" s="14" t="s">
        <v>114</v>
      </c>
      <c r="H82" s="44">
        <f>4148.2/F82</f>
        <v>730.31690140845069</v>
      </c>
      <c r="I82" s="54">
        <f>F82*H82</f>
        <v>4148.2</v>
      </c>
      <c r="J82" s="13" t="s">
        <v>119</v>
      </c>
      <c r="L82" s="2"/>
    </row>
    <row r="83" spans="1:12" ht="32.25" x14ac:dyDescent="0.3">
      <c r="A83" s="6"/>
      <c r="B83" s="8"/>
      <c r="C83" s="4"/>
      <c r="D83" s="15" t="s">
        <v>182</v>
      </c>
      <c r="E83" s="41"/>
      <c r="F83" s="41">
        <f>14.08</f>
        <v>14.08</v>
      </c>
      <c r="G83" s="14" t="s">
        <v>114</v>
      </c>
      <c r="H83" s="44">
        <f>28971.8/F83</f>
        <v>2057.65625</v>
      </c>
      <c r="I83" s="54">
        <f>F83*H83</f>
        <v>28971.8</v>
      </c>
      <c r="J83" s="13" t="s">
        <v>148</v>
      </c>
      <c r="L83" s="2"/>
    </row>
    <row r="84" spans="1:12" ht="18.75" x14ac:dyDescent="0.3">
      <c r="A84" s="6"/>
      <c r="B84" s="8"/>
      <c r="C84" s="4"/>
      <c r="D84" s="4" t="s">
        <v>211</v>
      </c>
      <c r="E84" s="41"/>
      <c r="F84" s="41">
        <v>2.5</v>
      </c>
      <c r="G84" s="14" t="s">
        <v>114</v>
      </c>
      <c r="H84" s="41">
        <f>257.4/F84</f>
        <v>102.96</v>
      </c>
      <c r="I84" s="54">
        <f>F84*H84</f>
        <v>257.39999999999998</v>
      </c>
      <c r="J84" s="13" t="s">
        <v>148</v>
      </c>
      <c r="L84" s="2"/>
    </row>
    <row r="85" spans="1:12" ht="32.25" x14ac:dyDescent="0.3">
      <c r="A85" s="6"/>
      <c r="B85" s="8"/>
      <c r="C85" s="4"/>
      <c r="D85" s="15" t="s">
        <v>212</v>
      </c>
      <c r="E85" s="41"/>
      <c r="F85" s="41">
        <v>2.5</v>
      </c>
      <c r="G85" s="13" t="s">
        <v>114</v>
      </c>
      <c r="H85" s="44">
        <f>1579.8/F85</f>
        <v>631.91999999999996</v>
      </c>
      <c r="I85" s="54">
        <f>F85*H85</f>
        <v>1579.8</v>
      </c>
      <c r="J85" s="13" t="s">
        <v>123</v>
      </c>
      <c r="L85" s="2"/>
    </row>
    <row r="86" spans="1:12" ht="48" x14ac:dyDescent="0.3">
      <c r="A86" s="6"/>
      <c r="B86" s="8"/>
      <c r="C86" s="4"/>
      <c r="D86" s="15" t="s">
        <v>193</v>
      </c>
      <c r="E86" s="41"/>
      <c r="F86" s="41">
        <f>251.5</f>
        <v>251.5</v>
      </c>
      <c r="G86" s="13" t="s">
        <v>114</v>
      </c>
      <c r="H86" s="44">
        <f>47971.6/F86</f>
        <v>190.74194831013915</v>
      </c>
      <c r="I86" s="54">
        <f t="shared" ref="I86:I88" si="5">F86*H86</f>
        <v>47971.6</v>
      </c>
      <c r="J86" s="13" t="s">
        <v>123</v>
      </c>
      <c r="L86" s="2"/>
    </row>
    <row r="87" spans="1:12" ht="32.25" x14ac:dyDescent="0.3">
      <c r="A87" s="6"/>
      <c r="B87" s="8"/>
      <c r="C87" s="4"/>
      <c r="D87" s="15" t="s">
        <v>265</v>
      </c>
      <c r="E87" s="41"/>
      <c r="F87" s="41">
        <f>31.7</f>
        <v>31.7</v>
      </c>
      <c r="G87" s="13" t="s">
        <v>114</v>
      </c>
      <c r="H87" s="44">
        <f>3606.4/F87</f>
        <v>113.76656151419559</v>
      </c>
      <c r="I87" s="54">
        <f>F87*H87</f>
        <v>3606.4</v>
      </c>
      <c r="J87" s="13" t="s">
        <v>122</v>
      </c>
      <c r="L87" s="2"/>
    </row>
    <row r="88" spans="1:12" ht="32.25" x14ac:dyDescent="0.3">
      <c r="A88" s="6"/>
      <c r="B88" s="8"/>
      <c r="C88" s="4"/>
      <c r="D88" s="15" t="s">
        <v>194</v>
      </c>
      <c r="E88" s="41"/>
      <c r="F88" s="41">
        <f>251.5+31.7</f>
        <v>283.2</v>
      </c>
      <c r="G88" s="13" t="s">
        <v>114</v>
      </c>
      <c r="H88" s="44">
        <f>(219837.6+28010.6)/F88</f>
        <v>875.17019774011305</v>
      </c>
      <c r="I88" s="54">
        <f t="shared" si="5"/>
        <v>247848.2</v>
      </c>
      <c r="J88" s="13" t="s">
        <v>123</v>
      </c>
      <c r="L88" s="2"/>
    </row>
    <row r="89" spans="1:12" ht="18.75" x14ac:dyDescent="0.3">
      <c r="A89" s="6"/>
      <c r="B89" s="8"/>
      <c r="C89" s="4"/>
      <c r="D89" s="4"/>
      <c r="E89" s="41"/>
      <c r="F89" s="41"/>
      <c r="G89" s="14"/>
      <c r="H89" s="41"/>
      <c r="I89" s="41"/>
      <c r="J89" s="13"/>
      <c r="L89" s="2"/>
    </row>
    <row r="90" spans="1:12" ht="24" customHeight="1" x14ac:dyDescent="0.3">
      <c r="A90" s="6" t="s">
        <v>61</v>
      </c>
      <c r="B90" s="8"/>
      <c r="C90" s="4"/>
      <c r="D90" s="4" t="s">
        <v>49</v>
      </c>
      <c r="E90" s="41" t="s">
        <v>139</v>
      </c>
      <c r="F90" s="41" t="s">
        <v>139</v>
      </c>
      <c r="G90" s="14" t="s">
        <v>54</v>
      </c>
      <c r="H90" s="41"/>
      <c r="I90" s="41" t="s">
        <v>139</v>
      </c>
      <c r="J90" s="13"/>
      <c r="L90" s="2"/>
    </row>
    <row r="91" spans="1:12" ht="24" customHeight="1" x14ac:dyDescent="0.3">
      <c r="A91" s="6" t="s">
        <v>66</v>
      </c>
      <c r="B91" s="5"/>
      <c r="C91" s="4"/>
      <c r="D91" s="4" t="s">
        <v>94</v>
      </c>
      <c r="E91" s="41" t="s">
        <v>139</v>
      </c>
      <c r="F91" s="41" t="s">
        <v>139</v>
      </c>
      <c r="G91" s="14" t="s">
        <v>55</v>
      </c>
      <c r="H91" s="41"/>
      <c r="I91" s="41"/>
      <c r="J91" s="13"/>
      <c r="L91" s="2"/>
    </row>
    <row r="92" spans="1:12" ht="44.25" customHeight="1" x14ac:dyDescent="0.3">
      <c r="A92" s="6"/>
      <c r="B92" s="8"/>
      <c r="C92" s="4"/>
      <c r="D92" s="15" t="s">
        <v>201</v>
      </c>
      <c r="E92" s="41"/>
      <c r="F92" s="41">
        <f>6</f>
        <v>6</v>
      </c>
      <c r="G92" s="13" t="s">
        <v>31</v>
      </c>
      <c r="H92" s="44">
        <f>8565.2/F92</f>
        <v>1427.5333333333335</v>
      </c>
      <c r="I92" s="54">
        <f>F92*H92</f>
        <v>8565.2000000000007</v>
      </c>
      <c r="J92" s="13" t="s">
        <v>123</v>
      </c>
      <c r="L92" s="2"/>
    </row>
    <row r="93" spans="1:12" ht="48" x14ac:dyDescent="0.3">
      <c r="A93" s="6"/>
      <c r="B93" s="5"/>
      <c r="C93" s="4"/>
      <c r="D93" s="15" t="s">
        <v>202</v>
      </c>
      <c r="E93" s="41" t="s">
        <v>139</v>
      </c>
      <c r="F93" s="41">
        <f>6</f>
        <v>6</v>
      </c>
      <c r="G93" s="13" t="s">
        <v>31</v>
      </c>
      <c r="H93" s="44">
        <f>24079/F93</f>
        <v>4013.1666666666665</v>
      </c>
      <c r="I93" s="54">
        <f>F93*H93</f>
        <v>24079</v>
      </c>
      <c r="J93" s="13" t="s">
        <v>123</v>
      </c>
      <c r="L93" s="2"/>
    </row>
    <row r="94" spans="1:12" ht="18.75" x14ac:dyDescent="0.3">
      <c r="A94" s="28"/>
      <c r="B94" s="22"/>
      <c r="C94" s="22"/>
      <c r="D94" s="22"/>
      <c r="E94" s="45"/>
      <c r="F94" s="45"/>
      <c r="G94" s="12"/>
      <c r="H94" s="41"/>
      <c r="I94" s="44">
        <f>SUM(I42:I93)</f>
        <v>1372670</v>
      </c>
      <c r="J94" s="13"/>
      <c r="L94" s="2"/>
    </row>
    <row r="95" spans="1:12" ht="18.75" x14ac:dyDescent="0.3">
      <c r="A95" s="76" t="s">
        <v>68</v>
      </c>
      <c r="B95" s="77"/>
      <c r="C95" s="77"/>
      <c r="D95" s="77"/>
      <c r="E95" s="77"/>
      <c r="F95" s="77"/>
      <c r="G95" s="78"/>
      <c r="H95" s="18"/>
      <c r="I95" s="5"/>
      <c r="J95" s="13"/>
      <c r="L95" s="2"/>
    </row>
    <row r="96" spans="1:12" ht="37.5" x14ac:dyDescent="0.25">
      <c r="A96" s="9" t="s">
        <v>29</v>
      </c>
      <c r="B96" s="8"/>
      <c r="C96" s="4"/>
      <c r="D96" s="15" t="s">
        <v>141</v>
      </c>
      <c r="E96" s="41" t="s">
        <v>139</v>
      </c>
      <c r="F96" s="41" t="s">
        <v>139</v>
      </c>
      <c r="G96" s="13" t="s">
        <v>55</v>
      </c>
      <c r="H96" s="41" t="s">
        <v>139</v>
      </c>
      <c r="I96" s="41" t="s">
        <v>139</v>
      </c>
      <c r="J96" s="13"/>
      <c r="L96" s="2"/>
    </row>
    <row r="97" spans="1:12" ht="47.25" x14ac:dyDescent="0.25">
      <c r="A97" s="9"/>
      <c r="B97" s="8"/>
      <c r="C97" s="4"/>
      <c r="D97" s="15" t="s">
        <v>247</v>
      </c>
      <c r="E97" s="41"/>
      <c r="F97" s="41">
        <f>6.91</f>
        <v>6.91</v>
      </c>
      <c r="G97" s="13" t="s">
        <v>114</v>
      </c>
      <c r="H97" s="44">
        <f>5455.4/F97</f>
        <v>789.49348769898688</v>
      </c>
      <c r="I97" s="64">
        <f>F97*H97</f>
        <v>5455.4</v>
      </c>
      <c r="J97" s="13" t="s">
        <v>119</v>
      </c>
      <c r="L97" s="2"/>
    </row>
    <row r="98" spans="1:12" ht="47.25" x14ac:dyDescent="0.25">
      <c r="A98" s="9"/>
      <c r="B98" s="8"/>
      <c r="C98" s="4"/>
      <c r="D98" s="15" t="s">
        <v>248</v>
      </c>
      <c r="E98" s="41"/>
      <c r="F98" s="41">
        <v>1.8</v>
      </c>
      <c r="G98" s="13" t="s">
        <v>114</v>
      </c>
      <c r="H98" s="44">
        <f>1260.4/F98</f>
        <v>700.22222222222229</v>
      </c>
      <c r="I98" s="64">
        <f>F98*H98</f>
        <v>1260.4000000000001</v>
      </c>
      <c r="J98" s="13" t="s">
        <v>119</v>
      </c>
      <c r="L98" s="2"/>
    </row>
    <row r="99" spans="1:12" ht="18.75" x14ac:dyDescent="0.25">
      <c r="A99" s="9"/>
      <c r="B99" s="8"/>
      <c r="C99" s="4"/>
      <c r="D99" s="15" t="s">
        <v>215</v>
      </c>
      <c r="E99" s="41"/>
      <c r="F99" s="41">
        <v>5</v>
      </c>
      <c r="G99" s="13" t="s">
        <v>145</v>
      </c>
      <c r="H99" s="44">
        <f>3922/F99</f>
        <v>784.4</v>
      </c>
      <c r="I99" s="54">
        <f>F99*H99</f>
        <v>3922</v>
      </c>
      <c r="J99" s="13" t="s">
        <v>123</v>
      </c>
      <c r="L99" s="2"/>
    </row>
    <row r="100" spans="1:12" ht="51" customHeight="1" x14ac:dyDescent="0.25">
      <c r="A100" s="9"/>
      <c r="B100" s="8"/>
      <c r="C100" s="4"/>
      <c r="D100" s="15" t="s">
        <v>216</v>
      </c>
      <c r="E100" s="41"/>
      <c r="F100" s="41">
        <f>3.63+2</f>
        <v>5.63</v>
      </c>
      <c r="G100" s="13" t="s">
        <v>114</v>
      </c>
      <c r="H100" s="44">
        <f>(2064.8+1908.6)/F100</f>
        <v>705.75488454706931</v>
      </c>
      <c r="I100" s="54">
        <f>F100*H100</f>
        <v>3973.4</v>
      </c>
      <c r="J100" s="13" t="s">
        <v>123</v>
      </c>
      <c r="L100" s="2"/>
    </row>
    <row r="101" spans="1:12" ht="46.5" customHeight="1" x14ac:dyDescent="0.25">
      <c r="A101" s="9" t="s">
        <v>93</v>
      </c>
      <c r="B101" s="8"/>
      <c r="C101" s="4"/>
      <c r="D101" s="42" t="s">
        <v>126</v>
      </c>
      <c r="E101" s="32"/>
      <c r="F101" s="13">
        <v>6336.3</v>
      </c>
      <c r="G101" s="13" t="s">
        <v>114</v>
      </c>
      <c r="H101" s="33">
        <f>(29662.4+29662.4+29662.4+29844+29844+29844+31007.8+31007.8+31007.8+31406+31406+31406)/F101</f>
        <v>57.724634250272238</v>
      </c>
      <c r="I101" s="33">
        <f t="shared" ref="I101:I103" si="6">F101*H101</f>
        <v>365760.6</v>
      </c>
      <c r="J101" s="13" t="s">
        <v>117</v>
      </c>
      <c r="L101" s="2"/>
    </row>
    <row r="102" spans="1:12" ht="46.5" customHeight="1" x14ac:dyDescent="0.25">
      <c r="A102" s="9"/>
      <c r="B102" s="8"/>
      <c r="C102" s="4"/>
      <c r="D102" s="15" t="s">
        <v>112</v>
      </c>
      <c r="E102" s="32"/>
      <c r="F102" s="13">
        <f>9270</f>
        <v>9270</v>
      </c>
      <c r="G102" s="13" t="s">
        <v>30</v>
      </c>
      <c r="H102" s="33">
        <f>846893.6/F102</f>
        <v>91.358532901833868</v>
      </c>
      <c r="I102" s="33">
        <f t="shared" si="6"/>
        <v>846893.6</v>
      </c>
      <c r="J102" s="13" t="s">
        <v>119</v>
      </c>
      <c r="L102" s="2"/>
    </row>
    <row r="103" spans="1:12" ht="46.5" customHeight="1" x14ac:dyDescent="0.25">
      <c r="A103" s="9"/>
      <c r="B103" s="8"/>
      <c r="C103" s="4"/>
      <c r="D103" s="15" t="s">
        <v>113</v>
      </c>
      <c r="E103" s="41"/>
      <c r="F103" s="41">
        <v>627</v>
      </c>
      <c r="G103" s="13" t="s">
        <v>30</v>
      </c>
      <c r="H103" s="44">
        <f>57879.8/F103</f>
        <v>92.312280701754389</v>
      </c>
      <c r="I103" s="41">
        <f t="shared" si="6"/>
        <v>57879.8</v>
      </c>
      <c r="J103" s="13" t="s">
        <v>119</v>
      </c>
      <c r="L103" s="2"/>
    </row>
    <row r="104" spans="1:12" ht="46.5" customHeight="1" x14ac:dyDescent="0.25">
      <c r="A104" s="9"/>
      <c r="B104" s="8"/>
      <c r="C104" s="4"/>
      <c r="D104" s="15" t="s">
        <v>154</v>
      </c>
      <c r="E104" s="41"/>
      <c r="F104" s="41">
        <f>1+1</f>
        <v>2</v>
      </c>
      <c r="G104" s="13" t="s">
        <v>31</v>
      </c>
      <c r="H104" s="41">
        <f>(1434.4+1434.4)/F104</f>
        <v>1434.4</v>
      </c>
      <c r="I104" s="41">
        <f t="shared" ref="I104" si="7">F104*H104</f>
        <v>2868.8</v>
      </c>
      <c r="J104" s="13" t="s">
        <v>117</v>
      </c>
      <c r="L104" s="2"/>
    </row>
    <row r="105" spans="1:12" ht="46.5" customHeight="1" x14ac:dyDescent="0.25">
      <c r="A105" s="9"/>
      <c r="B105" s="8"/>
      <c r="C105" s="4"/>
      <c r="D105" s="15" t="s">
        <v>205</v>
      </c>
      <c r="E105" s="41"/>
      <c r="F105" s="41">
        <f>8</f>
        <v>8</v>
      </c>
      <c r="G105" s="13" t="s">
        <v>31</v>
      </c>
      <c r="H105" s="44">
        <f>12192.2/F105</f>
        <v>1524.0250000000001</v>
      </c>
      <c r="I105" s="54">
        <f t="shared" ref="I105" si="8">F105*H105</f>
        <v>12192.2</v>
      </c>
      <c r="J105" s="13" t="s">
        <v>119</v>
      </c>
      <c r="L105" s="2"/>
    </row>
    <row r="106" spans="1:12" ht="46.5" customHeight="1" x14ac:dyDescent="0.25">
      <c r="A106" s="9"/>
      <c r="B106" s="8"/>
      <c r="C106" s="4"/>
      <c r="D106" s="15" t="s">
        <v>206</v>
      </c>
      <c r="E106" s="41"/>
      <c r="F106" s="41">
        <f>2</f>
        <v>2</v>
      </c>
      <c r="G106" s="13" t="s">
        <v>31</v>
      </c>
      <c r="H106" s="41">
        <f>5466.2/F106</f>
        <v>2733.1</v>
      </c>
      <c r="I106" s="54">
        <f>F106*H106</f>
        <v>5466.2</v>
      </c>
      <c r="J106" s="13" t="s">
        <v>119</v>
      </c>
      <c r="L106" s="2"/>
    </row>
    <row r="107" spans="1:12" ht="46.5" customHeight="1" x14ac:dyDescent="0.25">
      <c r="A107" s="9"/>
      <c r="B107" s="8"/>
      <c r="C107" s="4"/>
      <c r="D107" s="15" t="s">
        <v>132</v>
      </c>
      <c r="E107" s="41"/>
      <c r="F107" s="41">
        <f>34</f>
        <v>34</v>
      </c>
      <c r="G107" s="13" t="s">
        <v>31</v>
      </c>
      <c r="H107" s="44">
        <f>41025.8/F107</f>
        <v>1206.6411764705883</v>
      </c>
      <c r="I107" s="54">
        <f>F107*H107</f>
        <v>41025.800000000003</v>
      </c>
      <c r="J107" s="13" t="s">
        <v>119</v>
      </c>
      <c r="L107" s="2"/>
    </row>
    <row r="108" spans="1:12" ht="46.5" customHeight="1" x14ac:dyDescent="0.25">
      <c r="A108" s="9"/>
      <c r="B108" s="8"/>
      <c r="C108" s="4"/>
      <c r="D108" s="15" t="s">
        <v>218</v>
      </c>
      <c r="E108" s="31"/>
      <c r="F108" s="31">
        <v>60</v>
      </c>
      <c r="G108" s="13" t="s">
        <v>30</v>
      </c>
      <c r="H108" s="53">
        <f>(31000)/F108</f>
        <v>516.66666666666663</v>
      </c>
      <c r="I108" s="56">
        <f t="shared" ref="I108:I110" si="9">F108*H108</f>
        <v>30999.999999999996</v>
      </c>
      <c r="J108" s="13" t="s">
        <v>123</v>
      </c>
      <c r="L108" s="2"/>
    </row>
    <row r="109" spans="1:12" ht="83.25" customHeight="1" x14ac:dyDescent="0.25">
      <c r="A109" s="9"/>
      <c r="B109" s="8"/>
      <c r="C109" s="4"/>
      <c r="D109" s="15" t="s">
        <v>174</v>
      </c>
      <c r="E109" s="41" t="s">
        <v>139</v>
      </c>
      <c r="F109" s="41">
        <f>92</f>
        <v>92</v>
      </c>
      <c r="G109" s="13" t="s">
        <v>163</v>
      </c>
      <c r="H109" s="44">
        <f>(4834)/F109</f>
        <v>52.543478260869563</v>
      </c>
      <c r="I109" s="54">
        <f t="shared" si="9"/>
        <v>4834</v>
      </c>
      <c r="J109" s="13" t="s">
        <v>119</v>
      </c>
      <c r="L109" s="2"/>
    </row>
    <row r="110" spans="1:12" ht="46.5" customHeight="1" x14ac:dyDescent="0.25">
      <c r="A110" s="9"/>
      <c r="B110" s="8"/>
      <c r="C110" s="4"/>
      <c r="D110" s="15" t="s">
        <v>175</v>
      </c>
      <c r="E110" s="41" t="s">
        <v>139</v>
      </c>
      <c r="F110" s="41">
        <v>60</v>
      </c>
      <c r="G110" s="13" t="s">
        <v>30</v>
      </c>
      <c r="H110" s="44">
        <f>(58979)/F110</f>
        <v>982.98333333333335</v>
      </c>
      <c r="I110" s="54">
        <f t="shared" si="9"/>
        <v>58979</v>
      </c>
      <c r="J110" s="13" t="s">
        <v>119</v>
      </c>
      <c r="L110" s="2"/>
    </row>
    <row r="111" spans="1:12" ht="31.5" x14ac:dyDescent="0.25">
      <c r="A111" s="9" t="s">
        <v>84</v>
      </c>
      <c r="B111" s="8"/>
      <c r="C111" s="4"/>
      <c r="D111" s="15" t="s">
        <v>156</v>
      </c>
      <c r="E111" s="41"/>
      <c r="F111" s="41"/>
      <c r="G111" s="13" t="s">
        <v>55</v>
      </c>
      <c r="H111" s="41" t="s">
        <v>139</v>
      </c>
      <c r="I111" s="41" t="s">
        <v>139</v>
      </c>
      <c r="J111" s="13"/>
      <c r="L111" s="2"/>
    </row>
    <row r="112" spans="1:12" ht="31.5" x14ac:dyDescent="0.25">
      <c r="A112" s="9"/>
      <c r="B112" s="8"/>
      <c r="C112" s="4"/>
      <c r="D112" s="15" t="s">
        <v>157</v>
      </c>
      <c r="E112" s="41"/>
      <c r="F112" s="41"/>
      <c r="G112" s="13" t="s">
        <v>55</v>
      </c>
      <c r="H112" s="41" t="s">
        <v>139</v>
      </c>
      <c r="I112" s="41" t="s">
        <v>139</v>
      </c>
      <c r="J112" s="13"/>
      <c r="L112" s="2"/>
    </row>
    <row r="113" spans="1:12" ht="18.75" x14ac:dyDescent="0.25">
      <c r="A113" s="9"/>
      <c r="B113" s="8"/>
      <c r="C113" s="4"/>
      <c r="D113" s="15" t="s">
        <v>217</v>
      </c>
      <c r="E113" s="41"/>
      <c r="F113" s="41">
        <f>1+12</f>
        <v>13</v>
      </c>
      <c r="G113" s="13" t="s">
        <v>31</v>
      </c>
      <c r="H113" s="44">
        <f>(1225.2+25684)/F113</f>
        <v>2069.9384615384615</v>
      </c>
      <c r="I113" s="54">
        <f>F113*H113</f>
        <v>26909.200000000001</v>
      </c>
      <c r="J113" s="13" t="s">
        <v>119</v>
      </c>
      <c r="L113" s="2"/>
    </row>
    <row r="114" spans="1:12" ht="18.75" x14ac:dyDescent="0.25">
      <c r="A114" s="9"/>
      <c r="B114" s="8"/>
      <c r="C114" s="4"/>
      <c r="D114" s="15" t="s">
        <v>219</v>
      </c>
      <c r="E114" s="41"/>
      <c r="F114" s="41">
        <f>10</f>
        <v>10</v>
      </c>
      <c r="G114" s="13" t="s">
        <v>31</v>
      </c>
      <c r="H114" s="41">
        <f>45394.8/F114</f>
        <v>4539.4800000000005</v>
      </c>
      <c r="I114" s="54">
        <f t="shared" ref="I114" si="10">F114*H114</f>
        <v>45394.8</v>
      </c>
      <c r="J114" s="13" t="s">
        <v>119</v>
      </c>
      <c r="L114" s="2"/>
    </row>
    <row r="115" spans="1:12" ht="18.75" x14ac:dyDescent="0.25">
      <c r="A115" s="9" t="s">
        <v>20</v>
      </c>
      <c r="B115" s="8"/>
      <c r="C115" s="4"/>
      <c r="D115" s="15" t="s">
        <v>69</v>
      </c>
      <c r="E115" s="41" t="s">
        <v>139</v>
      </c>
      <c r="F115" s="41" t="s">
        <v>139</v>
      </c>
      <c r="G115" s="13" t="s">
        <v>30</v>
      </c>
      <c r="H115" s="41" t="s">
        <v>139</v>
      </c>
      <c r="I115" s="41" t="s">
        <v>139</v>
      </c>
      <c r="J115" s="13"/>
      <c r="L115" s="2"/>
    </row>
    <row r="116" spans="1:12" ht="31.5" x14ac:dyDescent="0.25">
      <c r="A116" s="9" t="s">
        <v>21</v>
      </c>
      <c r="B116" s="8"/>
      <c r="C116" s="4"/>
      <c r="D116" s="15" t="s">
        <v>71</v>
      </c>
      <c r="E116" s="41"/>
      <c r="F116" s="41"/>
      <c r="G116" s="13" t="s">
        <v>55</v>
      </c>
      <c r="H116" s="41"/>
      <c r="I116" s="54"/>
      <c r="J116" s="13"/>
      <c r="L116" s="2"/>
    </row>
    <row r="117" spans="1:12" ht="18.75" x14ac:dyDescent="0.25">
      <c r="A117" s="9"/>
      <c r="B117" s="47"/>
      <c r="C117" s="22"/>
      <c r="D117" s="40" t="s">
        <v>238</v>
      </c>
      <c r="E117" s="60"/>
      <c r="F117" s="60">
        <f>2</f>
        <v>2</v>
      </c>
      <c r="G117" s="13" t="s">
        <v>31</v>
      </c>
      <c r="H117" s="60">
        <f>85774.6/F117</f>
        <v>42887.3</v>
      </c>
      <c r="I117" s="54">
        <f>F117*H117</f>
        <v>85774.6</v>
      </c>
      <c r="J117" s="13" t="s">
        <v>119</v>
      </c>
      <c r="L117" s="2"/>
    </row>
    <row r="118" spans="1:12" ht="18.75" x14ac:dyDescent="0.25">
      <c r="A118" s="9"/>
      <c r="B118" s="8"/>
      <c r="C118" s="5"/>
      <c r="D118" s="40" t="s">
        <v>239</v>
      </c>
      <c r="E118" s="60"/>
      <c r="F118" s="60">
        <f>1</f>
        <v>1</v>
      </c>
      <c r="G118" s="13" t="s">
        <v>31</v>
      </c>
      <c r="H118" s="60">
        <f>4220/F118</f>
        <v>4220</v>
      </c>
      <c r="I118" s="54">
        <f>F118*H118</f>
        <v>4220</v>
      </c>
      <c r="J118" s="13" t="s">
        <v>119</v>
      </c>
      <c r="L118" s="2"/>
    </row>
    <row r="119" spans="1:12" ht="18.75" x14ac:dyDescent="0.25">
      <c r="A119" s="46"/>
      <c r="B119" s="47"/>
      <c r="C119" s="22"/>
      <c r="D119" s="30"/>
      <c r="E119" s="45"/>
      <c r="F119" s="45"/>
      <c r="G119" s="31"/>
      <c r="H119" s="41"/>
      <c r="I119" s="44">
        <f>SUM(I99:I116)</f>
        <v>1507099.4000000001</v>
      </c>
      <c r="J119" s="13"/>
      <c r="L119" s="2"/>
    </row>
    <row r="120" spans="1:12" ht="18.75" x14ac:dyDescent="0.3">
      <c r="A120" s="72" t="s">
        <v>72</v>
      </c>
      <c r="B120" s="73"/>
      <c r="C120" s="73"/>
      <c r="D120" s="73"/>
      <c r="E120" s="73"/>
      <c r="F120" s="73"/>
      <c r="G120" s="74"/>
      <c r="H120" s="19"/>
      <c r="I120" s="5"/>
      <c r="J120" s="13"/>
      <c r="L120" s="2"/>
    </row>
    <row r="121" spans="1:12" ht="37.5" x14ac:dyDescent="0.25">
      <c r="A121" s="9" t="s">
        <v>93</v>
      </c>
      <c r="B121" s="8"/>
      <c r="C121" s="4"/>
      <c r="D121" s="4" t="s">
        <v>128</v>
      </c>
      <c r="E121" s="31"/>
      <c r="F121" s="13">
        <f>10+8+18+8+6+4+8+12+8+20+3</f>
        <v>105</v>
      </c>
      <c r="G121" s="13" t="s">
        <v>116</v>
      </c>
      <c r="H121" s="33">
        <f>(7020.6+5618+12639.8+5651.6+4238.8+2937.2+5873.2+8806.4+5948.8+14869.6+2231.8)/F121/3</f>
        <v>240.74857142857141</v>
      </c>
      <c r="I121" s="33">
        <f t="shared" ref="I121" si="11">F121*H121</f>
        <v>25278.6</v>
      </c>
      <c r="J121" s="13" t="s">
        <v>117</v>
      </c>
      <c r="L121" s="2"/>
    </row>
    <row r="122" spans="1:12" ht="18.75" x14ac:dyDescent="0.25">
      <c r="A122" s="9"/>
      <c r="B122" s="8"/>
      <c r="C122" s="4"/>
      <c r="D122" s="15" t="s">
        <v>150</v>
      </c>
      <c r="E122" s="41"/>
      <c r="F122" s="41"/>
      <c r="G122" s="13" t="s">
        <v>31</v>
      </c>
      <c r="H122" s="41"/>
      <c r="I122" s="41" t="s">
        <v>139</v>
      </c>
      <c r="J122" s="13"/>
      <c r="L122" s="2"/>
    </row>
    <row r="123" spans="1:12" ht="31.5" x14ac:dyDescent="0.25">
      <c r="A123" s="9"/>
      <c r="B123" s="8"/>
      <c r="C123" s="4"/>
      <c r="D123" s="15" t="s">
        <v>162</v>
      </c>
      <c r="E123" s="41"/>
      <c r="F123" s="41">
        <f>1</f>
        <v>1</v>
      </c>
      <c r="G123" s="13" t="s">
        <v>152</v>
      </c>
      <c r="H123" s="44">
        <f>7257.4/F123</f>
        <v>7257.4</v>
      </c>
      <c r="I123" s="54">
        <f>F123*H123</f>
        <v>7257.4</v>
      </c>
      <c r="J123" s="13" t="s">
        <v>119</v>
      </c>
      <c r="L123" s="2"/>
    </row>
    <row r="124" spans="1:12" ht="31.5" x14ac:dyDescent="0.25">
      <c r="A124" s="9"/>
      <c r="B124" s="8"/>
      <c r="C124" s="4"/>
      <c r="D124" s="15" t="s">
        <v>164</v>
      </c>
      <c r="E124" s="41"/>
      <c r="F124" s="41">
        <f>2.5+1+3</f>
        <v>6.5</v>
      </c>
      <c r="G124" s="13" t="s">
        <v>30</v>
      </c>
      <c r="H124" s="44">
        <f>(811.2+325.4+1033.8)/F124</f>
        <v>333.90769230769223</v>
      </c>
      <c r="I124" s="54">
        <f>F124*H124</f>
        <v>2170.3999999999996</v>
      </c>
      <c r="J124" s="13" t="s">
        <v>148</v>
      </c>
      <c r="L124" s="2"/>
    </row>
    <row r="125" spans="1:12" ht="31.5" x14ac:dyDescent="0.25">
      <c r="A125" s="9"/>
      <c r="B125" s="8"/>
      <c r="C125" s="4"/>
      <c r="D125" s="15" t="s">
        <v>170</v>
      </c>
      <c r="E125" s="31"/>
      <c r="F125" s="31">
        <f>5+6+3</f>
        <v>14</v>
      </c>
      <c r="G125" s="13" t="s">
        <v>30</v>
      </c>
      <c r="H125" s="53">
        <f>(2818.8+3381.6+1754)/F125</f>
        <v>568.17142857142858</v>
      </c>
      <c r="I125" s="56">
        <f t="shared" ref="I125:I127" si="12">F125*H125</f>
        <v>7954.4</v>
      </c>
      <c r="J125" s="13" t="s">
        <v>123</v>
      </c>
      <c r="L125" s="2"/>
    </row>
    <row r="126" spans="1:12" ht="78.75" x14ac:dyDescent="0.25">
      <c r="A126" s="9"/>
      <c r="B126" s="8"/>
      <c r="C126" s="4"/>
      <c r="D126" s="15" t="s">
        <v>165</v>
      </c>
      <c r="E126" s="41" t="s">
        <v>139</v>
      </c>
      <c r="F126" s="41">
        <f>3+2+5</f>
        <v>10</v>
      </c>
      <c r="G126" s="13" t="s">
        <v>163</v>
      </c>
      <c r="H126" s="44">
        <f>(129.6+88.8+228.8)/F126</f>
        <v>44.72</v>
      </c>
      <c r="I126" s="54">
        <f t="shared" si="12"/>
        <v>447.2</v>
      </c>
      <c r="J126" s="13" t="s">
        <v>119</v>
      </c>
      <c r="L126" s="2"/>
    </row>
    <row r="127" spans="1:12" ht="47.25" x14ac:dyDescent="0.25">
      <c r="A127" s="9"/>
      <c r="B127" s="8"/>
      <c r="C127" s="4"/>
      <c r="D127" s="15" t="s">
        <v>228</v>
      </c>
      <c r="E127" s="41" t="s">
        <v>139</v>
      </c>
      <c r="F127" s="41">
        <f>2.5+3</f>
        <v>5.5</v>
      </c>
      <c r="G127" s="13" t="s">
        <v>30</v>
      </c>
      <c r="H127" s="44">
        <f>(2119.2+3523+1627)/F127</f>
        <v>1321.6727272727273</v>
      </c>
      <c r="I127" s="54">
        <f t="shared" si="12"/>
        <v>7269.2000000000007</v>
      </c>
      <c r="J127" s="13" t="s">
        <v>119</v>
      </c>
      <c r="L127" s="2"/>
    </row>
    <row r="128" spans="1:12" ht="78.75" x14ac:dyDescent="0.25">
      <c r="A128" s="9"/>
      <c r="B128" s="8"/>
      <c r="C128" s="4"/>
      <c r="D128" s="15" t="s">
        <v>174</v>
      </c>
      <c r="E128" s="41" t="s">
        <v>139</v>
      </c>
      <c r="F128" s="41">
        <f>6+6+5</f>
        <v>17</v>
      </c>
      <c r="G128" s="13" t="s">
        <v>163</v>
      </c>
      <c r="H128" s="44">
        <f>(314.8+314.8+273.8)/F128</f>
        <v>53.141176470588242</v>
      </c>
      <c r="I128" s="54">
        <f t="shared" ref="I128:I129" si="13">F128*H128</f>
        <v>903.40000000000009</v>
      </c>
      <c r="J128" s="13" t="s">
        <v>148</v>
      </c>
      <c r="L128" s="2"/>
    </row>
    <row r="129" spans="1:12" ht="47.25" x14ac:dyDescent="0.25">
      <c r="A129" s="9"/>
      <c r="B129" s="8"/>
      <c r="C129" s="4"/>
      <c r="D129" s="15" t="s">
        <v>175</v>
      </c>
      <c r="E129" s="41" t="s">
        <v>139</v>
      </c>
      <c r="F129" s="41">
        <f>5+6+3</f>
        <v>14</v>
      </c>
      <c r="G129" s="13" t="s">
        <v>30</v>
      </c>
      <c r="H129" s="44">
        <f>(6003.6+8675+8076.6)/F129</f>
        <v>1625.3714285714286</v>
      </c>
      <c r="I129" s="54">
        <f t="shared" si="13"/>
        <v>22755.200000000001</v>
      </c>
      <c r="J129" s="13" t="s">
        <v>148</v>
      </c>
      <c r="L129" s="2"/>
    </row>
    <row r="130" spans="1:12" ht="18.75" x14ac:dyDescent="0.25">
      <c r="A130" s="9"/>
      <c r="B130" s="8"/>
      <c r="C130" s="4"/>
      <c r="D130" s="15" t="s">
        <v>169</v>
      </c>
      <c r="E130" s="31"/>
      <c r="F130" s="31">
        <v>2</v>
      </c>
      <c r="G130" s="13" t="s">
        <v>151</v>
      </c>
      <c r="H130" s="31">
        <f>1106.8/F130</f>
        <v>553.4</v>
      </c>
      <c r="I130" s="56">
        <f>F130*H130</f>
        <v>1106.8</v>
      </c>
      <c r="J130" s="13"/>
      <c r="L130" s="2"/>
    </row>
    <row r="131" spans="1:12" ht="18.75" x14ac:dyDescent="0.25">
      <c r="A131" s="9"/>
      <c r="B131" s="8"/>
      <c r="C131" s="4"/>
      <c r="D131" s="15" t="s">
        <v>161</v>
      </c>
      <c r="E131" s="31"/>
      <c r="F131" s="31">
        <f>6</f>
        <v>6</v>
      </c>
      <c r="G131" s="13" t="s">
        <v>151</v>
      </c>
      <c r="H131" s="31">
        <f>5760.6/F131</f>
        <v>960.1</v>
      </c>
      <c r="I131" s="56">
        <f>F131*H131</f>
        <v>5760.6</v>
      </c>
      <c r="J131" s="13" t="s">
        <v>119</v>
      </c>
      <c r="L131" s="2"/>
    </row>
    <row r="132" spans="1:12" ht="18.75" x14ac:dyDescent="0.25">
      <c r="A132" s="9" t="s">
        <v>84</v>
      </c>
      <c r="B132" s="8"/>
      <c r="C132" s="4"/>
      <c r="D132" s="15" t="s">
        <v>70</v>
      </c>
      <c r="E132" s="41"/>
      <c r="F132" s="41"/>
      <c r="G132" s="13" t="s">
        <v>55</v>
      </c>
      <c r="H132" s="41"/>
      <c r="I132" s="41" t="s">
        <v>139</v>
      </c>
      <c r="J132" s="13"/>
      <c r="L132" s="2"/>
    </row>
    <row r="133" spans="1:12" ht="18.75" x14ac:dyDescent="0.25">
      <c r="A133" s="9"/>
      <c r="B133" s="8"/>
      <c r="C133" s="4"/>
      <c r="D133" s="15" t="s">
        <v>259</v>
      </c>
      <c r="E133" s="41"/>
      <c r="F133" s="41">
        <f>2</f>
        <v>2</v>
      </c>
      <c r="G133" s="13" t="s">
        <v>31</v>
      </c>
      <c r="H133" s="44">
        <f>2441.2/F133</f>
        <v>1220.5999999999999</v>
      </c>
      <c r="I133" s="54">
        <f t="shared" ref="I133" si="14">F133*H133</f>
        <v>2441.1999999999998</v>
      </c>
      <c r="J133" s="13" t="s">
        <v>117</v>
      </c>
      <c r="L133" s="2"/>
    </row>
    <row r="134" spans="1:12" ht="31.5" x14ac:dyDescent="0.25">
      <c r="A134" s="9" t="s">
        <v>21</v>
      </c>
      <c r="B134" s="8"/>
      <c r="C134" s="4"/>
      <c r="D134" s="15" t="s">
        <v>71</v>
      </c>
      <c r="E134" s="41" t="s">
        <v>139</v>
      </c>
      <c r="F134" s="41" t="s">
        <v>139</v>
      </c>
      <c r="G134" s="13" t="s">
        <v>142</v>
      </c>
      <c r="H134" s="41" t="s">
        <v>139</v>
      </c>
      <c r="I134" s="41" t="s">
        <v>139</v>
      </c>
      <c r="J134" s="13"/>
      <c r="L134" s="2"/>
    </row>
    <row r="135" spans="1:12" ht="18.75" x14ac:dyDescent="0.25">
      <c r="A135" s="46"/>
      <c r="B135" s="47"/>
      <c r="C135" s="22"/>
      <c r="D135" s="30"/>
      <c r="E135" s="45"/>
      <c r="F135" s="45"/>
      <c r="G135" s="31"/>
      <c r="H135" s="41"/>
      <c r="I135" s="44">
        <f>SUM(I121:I134)</f>
        <v>83344.400000000009</v>
      </c>
      <c r="J135" s="13"/>
      <c r="L135" s="2"/>
    </row>
    <row r="136" spans="1:12" ht="18.75" x14ac:dyDescent="0.3">
      <c r="A136" s="72" t="s">
        <v>73</v>
      </c>
      <c r="B136" s="73"/>
      <c r="C136" s="73"/>
      <c r="D136" s="73"/>
      <c r="E136" s="73"/>
      <c r="F136" s="73"/>
      <c r="G136" s="74"/>
      <c r="H136" s="13"/>
      <c r="I136" s="5"/>
      <c r="J136" s="13"/>
      <c r="L136" s="2"/>
    </row>
    <row r="137" spans="1:12" ht="37.5" x14ac:dyDescent="0.25">
      <c r="A137" s="9" t="s">
        <v>93</v>
      </c>
      <c r="B137" s="8"/>
      <c r="C137" s="4"/>
      <c r="D137" s="15" t="s">
        <v>236</v>
      </c>
      <c r="E137" s="31"/>
      <c r="F137" s="13">
        <f>10+8+18+8+6+4+8+12+8+20+3</f>
        <v>105</v>
      </c>
      <c r="G137" s="13" t="s">
        <v>116</v>
      </c>
      <c r="H137" s="33">
        <f>(7020.6+5618+12639.8+5651.6+4238.8+2937.2+5873.2+8806.4+5948.8+14869.6+2231.8)/F137/3</f>
        <v>240.74857142857141</v>
      </c>
      <c r="I137" s="33">
        <f t="shared" ref="I137" si="15">F137*H137</f>
        <v>25278.6</v>
      </c>
      <c r="J137" s="13" t="s">
        <v>117</v>
      </c>
      <c r="L137" s="2"/>
    </row>
    <row r="138" spans="1:12" ht="31.5" x14ac:dyDescent="0.25">
      <c r="A138" s="9"/>
      <c r="B138" s="8"/>
      <c r="C138" s="4"/>
      <c r="D138" s="15" t="s">
        <v>164</v>
      </c>
      <c r="E138" s="41"/>
      <c r="F138" s="41">
        <v>2.5</v>
      </c>
      <c r="G138" s="13" t="s">
        <v>30</v>
      </c>
      <c r="H138" s="44">
        <f>(819.4)/F138</f>
        <v>327.76</v>
      </c>
      <c r="I138" s="54">
        <f>F138*H138</f>
        <v>819.4</v>
      </c>
      <c r="J138" s="13" t="s">
        <v>123</v>
      </c>
      <c r="L138" s="2"/>
    </row>
    <row r="139" spans="1:12" ht="78.75" x14ac:dyDescent="0.25">
      <c r="A139" s="9"/>
      <c r="B139" s="8"/>
      <c r="C139" s="4"/>
      <c r="D139" s="15" t="s">
        <v>165</v>
      </c>
      <c r="E139" s="41" t="s">
        <v>139</v>
      </c>
      <c r="F139" s="41">
        <f>3</f>
        <v>3</v>
      </c>
      <c r="G139" s="13" t="s">
        <v>163</v>
      </c>
      <c r="H139" s="44">
        <f>(129.6)/F139</f>
        <v>43.199999999999996</v>
      </c>
      <c r="I139" s="54">
        <f t="shared" ref="I139:I140" si="16">F139*H139</f>
        <v>129.6</v>
      </c>
      <c r="J139" s="13" t="s">
        <v>123</v>
      </c>
      <c r="L139" s="2"/>
    </row>
    <row r="140" spans="1:12" ht="47.25" x14ac:dyDescent="0.25">
      <c r="A140" s="9"/>
      <c r="B140" s="8"/>
      <c r="C140" s="4"/>
      <c r="D140" s="15" t="s">
        <v>166</v>
      </c>
      <c r="E140" s="41" t="s">
        <v>139</v>
      </c>
      <c r="F140" s="41">
        <v>2.5</v>
      </c>
      <c r="G140" s="13" t="s">
        <v>30</v>
      </c>
      <c r="H140" s="44">
        <f>(5015.4)/F140</f>
        <v>2006.1599999999999</v>
      </c>
      <c r="I140" s="54">
        <f t="shared" si="16"/>
        <v>5015.3999999999996</v>
      </c>
      <c r="J140" s="13" t="s">
        <v>123</v>
      </c>
      <c r="L140" s="2"/>
    </row>
    <row r="141" spans="1:12" ht="18.75" x14ac:dyDescent="0.25">
      <c r="A141" s="9" t="s">
        <v>84</v>
      </c>
      <c r="B141" s="8"/>
      <c r="C141" s="4"/>
      <c r="D141" s="15" t="s">
        <v>70</v>
      </c>
      <c r="E141" s="41"/>
      <c r="F141" s="41"/>
      <c r="G141" s="14" t="s">
        <v>55</v>
      </c>
      <c r="H141" s="41"/>
      <c r="I141" s="41" t="s">
        <v>139</v>
      </c>
      <c r="J141" s="13"/>
      <c r="L141" s="2"/>
    </row>
    <row r="142" spans="1:12" ht="18.75" x14ac:dyDescent="0.25">
      <c r="A142" s="9"/>
      <c r="B142" s="8"/>
      <c r="C142" s="4"/>
      <c r="D142" s="15" t="s">
        <v>186</v>
      </c>
      <c r="E142" s="41"/>
      <c r="F142" s="41"/>
      <c r="G142" s="14" t="s">
        <v>31</v>
      </c>
      <c r="H142" s="41"/>
      <c r="I142" s="54"/>
      <c r="J142" s="13"/>
      <c r="L142" s="2"/>
    </row>
    <row r="143" spans="1:12" ht="31.5" x14ac:dyDescent="0.25">
      <c r="A143" s="9" t="s">
        <v>21</v>
      </c>
      <c r="B143" s="8"/>
      <c r="C143" s="4"/>
      <c r="D143" s="15" t="s">
        <v>71</v>
      </c>
      <c r="E143" s="41" t="s">
        <v>139</v>
      </c>
      <c r="F143" s="41" t="s">
        <v>139</v>
      </c>
      <c r="G143" s="14" t="s">
        <v>55</v>
      </c>
      <c r="H143" s="41"/>
      <c r="I143" s="41" t="s">
        <v>139</v>
      </c>
      <c r="J143" s="13"/>
      <c r="L143" s="2"/>
    </row>
    <row r="144" spans="1:12" ht="18.75" x14ac:dyDescent="0.25">
      <c r="A144" s="9"/>
      <c r="B144" s="8"/>
      <c r="C144" s="4"/>
      <c r="D144" s="15" t="s">
        <v>207</v>
      </c>
      <c r="E144" s="41" t="s">
        <v>139</v>
      </c>
      <c r="F144" s="41"/>
      <c r="G144" s="14" t="s">
        <v>55</v>
      </c>
      <c r="H144" s="41"/>
      <c r="I144" s="54"/>
      <c r="J144" s="13"/>
      <c r="L144" s="2"/>
    </row>
    <row r="145" spans="1:12" ht="18.75" x14ac:dyDescent="0.25">
      <c r="A145" s="46"/>
      <c r="B145" s="47"/>
      <c r="C145" s="22"/>
      <c r="D145" s="30"/>
      <c r="E145" s="45"/>
      <c r="F145" s="45"/>
      <c r="G145" s="12"/>
      <c r="H145" s="41"/>
      <c r="I145" s="44">
        <f>SUM(I137:I144)</f>
        <v>31243</v>
      </c>
      <c r="J145" s="13"/>
      <c r="L145" s="2"/>
    </row>
    <row r="146" spans="1:12" ht="18.75" x14ac:dyDescent="0.3">
      <c r="A146" s="72" t="s">
        <v>74</v>
      </c>
      <c r="B146" s="73"/>
      <c r="C146" s="73"/>
      <c r="D146" s="73"/>
      <c r="E146" s="73"/>
      <c r="F146" s="73"/>
      <c r="G146" s="74"/>
      <c r="H146" s="19"/>
      <c r="I146" s="5"/>
      <c r="J146" s="13"/>
      <c r="L146" s="2"/>
    </row>
    <row r="147" spans="1:12" ht="37.5" x14ac:dyDescent="0.25">
      <c r="A147" s="9" t="s">
        <v>99</v>
      </c>
      <c r="B147" s="8"/>
      <c r="C147" s="4"/>
      <c r="D147" s="4" t="s">
        <v>129</v>
      </c>
      <c r="E147" s="31"/>
      <c r="F147" s="13">
        <f>10+8+18+8+6+4+8+12+8+20+3</f>
        <v>105</v>
      </c>
      <c r="G147" s="13" t="s">
        <v>116</v>
      </c>
      <c r="H147" s="33">
        <f>(7020.6+5618+12639.8+5651.6+4238.8+2937.2+5873.2+8806.4+5948.8+14869.6+2231.8)/F147/3</f>
        <v>240.74857142857141</v>
      </c>
      <c r="I147" s="33">
        <f t="shared" ref="I147:I151" si="17">F147*H147</f>
        <v>25278.6</v>
      </c>
      <c r="J147" s="13" t="s">
        <v>117</v>
      </c>
      <c r="L147" s="2"/>
    </row>
    <row r="148" spans="1:12" ht="18.75" x14ac:dyDescent="0.25">
      <c r="A148" s="9"/>
      <c r="B148" s="8"/>
      <c r="C148" s="4"/>
      <c r="D148" s="4" t="s">
        <v>115</v>
      </c>
      <c r="E148" s="41"/>
      <c r="F148" s="41">
        <f>48+38+42+42+42+42+42+48+42+48+48</f>
        <v>482</v>
      </c>
      <c r="G148" s="13" t="s">
        <v>30</v>
      </c>
      <c r="H148" s="44">
        <f>(16047.6+12704.4+14041.2+14260.6+14260.6+14260.6+14865.6+16989.2+14865.6+17184.2+17184.2)/F148</f>
        <v>345.77551867219921</v>
      </c>
      <c r="I148" s="63">
        <f t="shared" si="17"/>
        <v>166663.80000000002</v>
      </c>
      <c r="J148" s="13" t="s">
        <v>117</v>
      </c>
      <c r="L148" s="2"/>
    </row>
    <row r="149" spans="1:12" ht="31.5" x14ac:dyDescent="0.25">
      <c r="A149" s="9"/>
      <c r="B149" s="8"/>
      <c r="C149" s="4"/>
      <c r="D149" s="15" t="s">
        <v>235</v>
      </c>
      <c r="E149" s="41"/>
      <c r="F149" s="41">
        <f>12</f>
        <v>12</v>
      </c>
      <c r="G149" s="13" t="s">
        <v>30</v>
      </c>
      <c r="H149" s="44">
        <f>13204.8/F149</f>
        <v>1100.3999999999999</v>
      </c>
      <c r="I149" s="59">
        <f t="shared" si="17"/>
        <v>13204.8</v>
      </c>
      <c r="J149" s="13" t="s">
        <v>122</v>
      </c>
      <c r="L149" s="2"/>
    </row>
    <row r="150" spans="1:12" ht="18.75" x14ac:dyDescent="0.25">
      <c r="A150" s="9"/>
      <c r="B150" s="8"/>
      <c r="C150" s="4"/>
      <c r="D150" s="4" t="s">
        <v>168</v>
      </c>
      <c r="E150" s="41"/>
      <c r="F150" s="41">
        <f>3+3+3+3+2+2+3+2+2+4</f>
        <v>27</v>
      </c>
      <c r="G150" s="13" t="s">
        <v>136</v>
      </c>
      <c r="H150" s="44">
        <f>(197.2+197.2+197.2+197.2+129.8+129.8+204.6+134.8+134.8+274.8)/F150</f>
        <v>66.570370370370355</v>
      </c>
      <c r="I150" s="41">
        <f t="shared" si="17"/>
        <v>1797.3999999999996</v>
      </c>
      <c r="J150" s="13" t="s">
        <v>117</v>
      </c>
      <c r="L150" s="2"/>
    </row>
    <row r="151" spans="1:12" ht="18.75" x14ac:dyDescent="0.25">
      <c r="A151" s="9"/>
      <c r="B151" s="8"/>
      <c r="C151" s="4"/>
      <c r="D151" s="4" t="s">
        <v>173</v>
      </c>
      <c r="E151" s="41" t="s">
        <v>139</v>
      </c>
      <c r="F151" s="41">
        <f>1</f>
        <v>1</v>
      </c>
      <c r="G151" s="13" t="s">
        <v>31</v>
      </c>
      <c r="H151" s="41">
        <f>38323.6/F151</f>
        <v>38323.599999999999</v>
      </c>
      <c r="I151" s="54">
        <f t="shared" si="17"/>
        <v>38323.599999999999</v>
      </c>
      <c r="J151" s="13" t="s">
        <v>122</v>
      </c>
      <c r="L151" s="2"/>
    </row>
    <row r="152" spans="1:12" ht="18.75" x14ac:dyDescent="0.25">
      <c r="A152" s="9" t="s">
        <v>22</v>
      </c>
      <c r="B152" s="8"/>
      <c r="C152" s="4"/>
      <c r="D152" s="4" t="s">
        <v>77</v>
      </c>
      <c r="E152" s="41" t="s">
        <v>139</v>
      </c>
      <c r="F152" s="41" t="s">
        <v>139</v>
      </c>
      <c r="G152" s="13" t="s">
        <v>30</v>
      </c>
      <c r="H152" s="41" t="s">
        <v>139</v>
      </c>
      <c r="I152" s="41" t="s">
        <v>139</v>
      </c>
      <c r="J152" s="13"/>
      <c r="L152" s="2"/>
    </row>
    <row r="153" spans="1:12" ht="18.75" x14ac:dyDescent="0.25">
      <c r="A153" s="46"/>
      <c r="B153" s="47"/>
      <c r="C153" s="22"/>
      <c r="D153" s="22"/>
      <c r="E153" s="45"/>
      <c r="F153" s="45"/>
      <c r="G153" s="31"/>
      <c r="H153" s="41"/>
      <c r="I153" s="44">
        <f>SUM(I147:I152)</f>
        <v>245268.2</v>
      </c>
      <c r="J153" s="13"/>
      <c r="L153" s="2"/>
    </row>
    <row r="154" spans="1:12" ht="18.75" x14ac:dyDescent="0.3">
      <c r="A154" s="72" t="s">
        <v>79</v>
      </c>
      <c r="B154" s="73"/>
      <c r="C154" s="73"/>
      <c r="D154" s="73"/>
      <c r="E154" s="73"/>
      <c r="F154" s="73"/>
      <c r="G154" s="74"/>
      <c r="H154" s="5"/>
      <c r="I154" s="5"/>
      <c r="J154" s="13"/>
      <c r="L154" s="2"/>
    </row>
    <row r="155" spans="1:12" ht="38.25" customHeight="1" x14ac:dyDescent="0.25">
      <c r="A155" s="9" t="s">
        <v>23</v>
      </c>
      <c r="B155" s="5"/>
      <c r="C155" s="4"/>
      <c r="D155" s="15" t="s">
        <v>140</v>
      </c>
      <c r="E155" s="41" t="s">
        <v>139</v>
      </c>
      <c r="F155" s="41">
        <f>1</f>
        <v>1</v>
      </c>
      <c r="G155" s="13" t="s">
        <v>55</v>
      </c>
      <c r="H155" s="41">
        <f>6880.2/F155</f>
        <v>6880.2</v>
      </c>
      <c r="I155" s="64">
        <f>F155*H155</f>
        <v>6880.2</v>
      </c>
      <c r="J155" s="13" t="s">
        <v>123</v>
      </c>
      <c r="L155" s="2"/>
    </row>
    <row r="156" spans="1:12" ht="18.75" x14ac:dyDescent="0.25">
      <c r="A156" s="9" t="s">
        <v>24</v>
      </c>
      <c r="B156" s="5"/>
      <c r="C156" s="4"/>
      <c r="D156" s="4" t="s">
        <v>78</v>
      </c>
      <c r="E156" s="41" t="s">
        <v>139</v>
      </c>
      <c r="F156" s="41" t="s">
        <v>139</v>
      </c>
      <c r="G156" s="13" t="s">
        <v>55</v>
      </c>
      <c r="H156" s="41" t="s">
        <v>139</v>
      </c>
      <c r="I156" s="41" t="s">
        <v>139</v>
      </c>
      <c r="J156" s="13"/>
      <c r="L156" s="2"/>
    </row>
    <row r="157" spans="1:12" ht="18.75" x14ac:dyDescent="0.25">
      <c r="A157" s="9"/>
      <c r="B157" s="5"/>
      <c r="C157" s="4"/>
      <c r="D157" s="15" t="s">
        <v>159</v>
      </c>
      <c r="E157" s="41"/>
      <c r="F157" s="41">
        <v>30</v>
      </c>
      <c r="G157" s="13" t="s">
        <v>146</v>
      </c>
      <c r="H157" s="41">
        <f>6769.2/F157</f>
        <v>225.64</v>
      </c>
      <c r="I157" s="64">
        <f>F157*H157</f>
        <v>6769.2</v>
      </c>
      <c r="J157" s="13"/>
      <c r="L157" s="2"/>
    </row>
    <row r="158" spans="1:12" ht="18.75" x14ac:dyDescent="0.25">
      <c r="A158" s="9"/>
      <c r="B158" s="5"/>
      <c r="C158" s="4"/>
      <c r="D158" s="15" t="s">
        <v>176</v>
      </c>
      <c r="E158" s="41"/>
      <c r="F158" s="41"/>
      <c r="G158" s="13" t="s">
        <v>31</v>
      </c>
      <c r="H158" s="41"/>
      <c r="I158" s="41" t="s">
        <v>139</v>
      </c>
      <c r="J158" s="13"/>
      <c r="L158" s="2"/>
    </row>
    <row r="159" spans="1:12" ht="18.75" x14ac:dyDescent="0.25">
      <c r="A159" s="9"/>
      <c r="B159" s="5"/>
      <c r="C159" s="4"/>
      <c r="D159" s="15" t="s">
        <v>184</v>
      </c>
      <c r="E159" s="41"/>
      <c r="F159" s="41">
        <f>58</f>
        <v>58</v>
      </c>
      <c r="G159" s="13" t="s">
        <v>146</v>
      </c>
      <c r="H159" s="44">
        <f>14682.4/F159</f>
        <v>253.1448275862069</v>
      </c>
      <c r="I159" s="54">
        <f t="shared" ref="I159:I164" si="18">F159*H159</f>
        <v>14682.4</v>
      </c>
      <c r="J159" s="13" t="s">
        <v>185</v>
      </c>
      <c r="L159" s="2"/>
    </row>
    <row r="160" spans="1:12" ht="18.75" x14ac:dyDescent="0.25">
      <c r="A160" s="9"/>
      <c r="B160" s="5"/>
      <c r="C160" s="4"/>
      <c r="D160" s="15" t="s">
        <v>260</v>
      </c>
      <c r="E160" s="41"/>
      <c r="F160" s="41">
        <v>1</v>
      </c>
      <c r="G160" s="13" t="s">
        <v>146</v>
      </c>
      <c r="H160" s="44">
        <f>590.2/F160</f>
        <v>590.20000000000005</v>
      </c>
      <c r="I160" s="54">
        <f t="shared" si="18"/>
        <v>590.20000000000005</v>
      </c>
      <c r="J160" s="13"/>
      <c r="L160" s="2"/>
    </row>
    <row r="161" spans="1:12" ht="31.5" x14ac:dyDescent="0.25">
      <c r="A161" s="9"/>
      <c r="B161" s="5"/>
      <c r="C161" s="4"/>
      <c r="D161" s="15" t="s">
        <v>249</v>
      </c>
      <c r="E161" s="41"/>
      <c r="F161" s="41">
        <f>18</f>
        <v>18</v>
      </c>
      <c r="G161" s="13" t="s">
        <v>146</v>
      </c>
      <c r="H161" s="44">
        <f>18268.4/F161</f>
        <v>1014.9111111111112</v>
      </c>
      <c r="I161" s="54">
        <f t="shared" si="18"/>
        <v>18268.400000000001</v>
      </c>
      <c r="J161" s="13" t="s">
        <v>123</v>
      </c>
      <c r="L161" s="2"/>
    </row>
    <row r="162" spans="1:12" ht="36.75" customHeight="1" x14ac:dyDescent="0.25">
      <c r="A162" s="9"/>
      <c r="B162" s="5"/>
      <c r="C162" s="4"/>
      <c r="D162" s="15" t="s">
        <v>190</v>
      </c>
      <c r="E162" s="41"/>
      <c r="F162" s="41">
        <f>1+32</f>
        <v>33</v>
      </c>
      <c r="G162" s="13" t="s">
        <v>31</v>
      </c>
      <c r="H162" s="44">
        <f>(172.6+5509.8)/F162</f>
        <v>172.19393939393942</v>
      </c>
      <c r="I162" s="54">
        <f t="shared" si="18"/>
        <v>5682.4000000000005</v>
      </c>
      <c r="J162" s="13" t="s">
        <v>191</v>
      </c>
      <c r="L162" s="2"/>
    </row>
    <row r="163" spans="1:12" ht="60" customHeight="1" x14ac:dyDescent="0.25">
      <c r="A163" s="9"/>
      <c r="B163" s="5"/>
      <c r="C163" s="4"/>
      <c r="D163" s="15" t="s">
        <v>192</v>
      </c>
      <c r="E163" s="41"/>
      <c r="F163" s="41">
        <f>1+32</f>
        <v>33</v>
      </c>
      <c r="G163" s="13" t="s">
        <v>31</v>
      </c>
      <c r="H163" s="44">
        <f>(2041.2+65322)/F163</f>
        <v>2041.3090909090909</v>
      </c>
      <c r="I163" s="55">
        <f t="shared" si="18"/>
        <v>67363.199999999997</v>
      </c>
      <c r="J163" s="13" t="s">
        <v>123</v>
      </c>
      <c r="L163" s="2"/>
    </row>
    <row r="164" spans="1:12" ht="31.5" x14ac:dyDescent="0.25">
      <c r="A164" s="9"/>
      <c r="B164" s="5"/>
      <c r="C164" s="4"/>
      <c r="D164" s="15" t="s">
        <v>127</v>
      </c>
      <c r="E164" s="41"/>
      <c r="F164" s="41">
        <f>1</f>
        <v>1</v>
      </c>
      <c r="G164" s="13" t="s">
        <v>31</v>
      </c>
      <c r="H164" s="44">
        <f>2063.4/F164</f>
        <v>2063.4</v>
      </c>
      <c r="I164" s="55">
        <f t="shared" si="18"/>
        <v>2063.4</v>
      </c>
      <c r="J164" s="13" t="s">
        <v>148</v>
      </c>
      <c r="L164" s="2"/>
    </row>
    <row r="165" spans="1:12" ht="18.75" x14ac:dyDescent="0.25">
      <c r="A165" s="9"/>
      <c r="B165" s="5"/>
      <c r="C165" s="4"/>
      <c r="D165" s="15" t="s">
        <v>167</v>
      </c>
      <c r="E165" s="41"/>
      <c r="F165" s="41"/>
      <c r="G165" s="13" t="s">
        <v>55</v>
      </c>
      <c r="H165" s="41"/>
      <c r="I165" s="41" t="s">
        <v>139</v>
      </c>
      <c r="J165" s="13"/>
      <c r="L165" s="2"/>
    </row>
    <row r="166" spans="1:12" ht="18.75" x14ac:dyDescent="0.25">
      <c r="A166" s="9"/>
      <c r="B166" s="5"/>
      <c r="C166" s="4"/>
      <c r="D166" s="15" t="s">
        <v>107</v>
      </c>
      <c r="E166" s="32"/>
      <c r="F166" s="13">
        <f>5+2+4+5+8+7+6+3+15+10</f>
        <v>65</v>
      </c>
      <c r="G166" s="13" t="s">
        <v>55</v>
      </c>
      <c r="H166" s="33">
        <f>(875+350+702+1709+1351.6+1201+1029+1350+2588.2+1727.4)/F166</f>
        <v>198.20307692307691</v>
      </c>
      <c r="I166" s="13">
        <f t="shared" ref="I166" si="19">F166*H166</f>
        <v>12883.199999999999</v>
      </c>
      <c r="J166" s="13" t="s">
        <v>117</v>
      </c>
      <c r="L166" s="2"/>
    </row>
    <row r="167" spans="1:12" ht="56.25" x14ac:dyDescent="0.25">
      <c r="A167" s="9" t="s">
        <v>108</v>
      </c>
      <c r="B167" s="5"/>
      <c r="C167" s="4"/>
      <c r="D167" s="15" t="s">
        <v>125</v>
      </c>
      <c r="E167" s="32"/>
      <c r="F167" s="13">
        <f>90+90+90+90+90+90+90+90+90+90+90+90</f>
        <v>1080</v>
      </c>
      <c r="G167" s="13" t="s">
        <v>109</v>
      </c>
      <c r="H167" s="33">
        <f>(8875.6+8875.6+8875.6+8931.8+8931.8+8931.8+9277.6+9277.6+9277.6+9397+9397+9397)/F167</f>
        <v>101.3388888888889</v>
      </c>
      <c r="I167" s="13">
        <f>F167*H167</f>
        <v>109446.00000000001</v>
      </c>
      <c r="J167" s="13" t="s">
        <v>117</v>
      </c>
      <c r="L167" s="2"/>
    </row>
    <row r="168" spans="1:12" ht="18.75" x14ac:dyDescent="0.25">
      <c r="A168" s="46"/>
      <c r="B168" s="22"/>
      <c r="C168" s="22"/>
      <c r="D168" s="30"/>
      <c r="E168" s="48"/>
      <c r="F168" s="49"/>
      <c r="G168" s="31"/>
      <c r="H168" s="31"/>
      <c r="I168" s="13">
        <f>SUM(I157:I167)</f>
        <v>237748.4</v>
      </c>
      <c r="J168" s="13"/>
      <c r="L168" s="2"/>
    </row>
    <row r="169" spans="1:12" ht="18.75" x14ac:dyDescent="0.25">
      <c r="A169" s="79" t="s">
        <v>92</v>
      </c>
      <c r="B169" s="80"/>
      <c r="C169" s="80"/>
      <c r="D169" s="80"/>
      <c r="E169" s="80"/>
      <c r="F169" s="80"/>
      <c r="G169" s="81"/>
      <c r="H169" s="12"/>
      <c r="I169" s="5"/>
      <c r="J169" s="13"/>
      <c r="L169" s="2"/>
    </row>
    <row r="170" spans="1:12" ht="18.75" x14ac:dyDescent="0.25">
      <c r="A170" s="26"/>
      <c r="B170" s="27"/>
      <c r="C170" s="27"/>
      <c r="D170" s="36" t="s">
        <v>118</v>
      </c>
      <c r="E170" s="41"/>
      <c r="F170" s="41">
        <f>2+3</f>
        <v>5</v>
      </c>
      <c r="G170" s="38" t="s">
        <v>31</v>
      </c>
      <c r="H170" s="44">
        <f>(2633.4+4106.4)/F170</f>
        <v>1347.9599999999998</v>
      </c>
      <c r="I170" s="41">
        <f>F170*H170</f>
        <v>6739.7999999999993</v>
      </c>
      <c r="J170" s="13" t="s">
        <v>148</v>
      </c>
      <c r="L170" s="2"/>
    </row>
    <row r="171" spans="1:12" ht="63" x14ac:dyDescent="0.25">
      <c r="A171" s="9" t="s">
        <v>90</v>
      </c>
      <c r="B171" s="22"/>
      <c r="C171" s="22"/>
      <c r="D171" s="23" t="s">
        <v>120</v>
      </c>
      <c r="E171" s="37">
        <v>2654</v>
      </c>
      <c r="F171" s="13">
        <v>2654</v>
      </c>
      <c r="G171" s="31" t="s">
        <v>91</v>
      </c>
      <c r="H171" s="31">
        <v>4.8</v>
      </c>
      <c r="I171" s="13">
        <f>F171*H171*12</f>
        <v>152870.39999999999</v>
      </c>
      <c r="J171" s="13" t="s">
        <v>117</v>
      </c>
      <c r="L171" s="2"/>
    </row>
    <row r="172" spans="1:12" ht="18.75" x14ac:dyDescent="0.25">
      <c r="A172" s="46"/>
      <c r="B172" s="22"/>
      <c r="C172" s="22"/>
      <c r="D172" s="30"/>
      <c r="E172" s="48"/>
      <c r="F172" s="49"/>
      <c r="G172" s="31"/>
      <c r="H172" s="31"/>
      <c r="I172" s="13">
        <f>SUM(I170:I171)</f>
        <v>159610.19999999998</v>
      </c>
      <c r="J172" s="13"/>
      <c r="L172" s="2"/>
    </row>
    <row r="173" spans="1:12" ht="18.75" x14ac:dyDescent="0.3">
      <c r="A173" s="72" t="s">
        <v>80</v>
      </c>
      <c r="B173" s="73"/>
      <c r="C173" s="73"/>
      <c r="D173" s="73"/>
      <c r="E173" s="73"/>
      <c r="F173" s="73"/>
      <c r="G173" s="74"/>
      <c r="H173" s="19"/>
      <c r="I173" s="5"/>
      <c r="J173" s="13"/>
      <c r="L173" s="2"/>
    </row>
    <row r="174" spans="1:12" ht="46.5" customHeight="1" x14ac:dyDescent="0.3">
      <c r="A174" s="34" t="s">
        <v>131</v>
      </c>
      <c r="B174" s="24"/>
      <c r="C174" s="24"/>
      <c r="D174" s="35" t="s">
        <v>130</v>
      </c>
      <c r="E174" s="13">
        <v>720</v>
      </c>
      <c r="F174" s="13">
        <v>720</v>
      </c>
      <c r="G174" s="13" t="s">
        <v>138</v>
      </c>
      <c r="H174" s="13">
        <v>13</v>
      </c>
      <c r="I174" s="13">
        <f>F174*H174*3</f>
        <v>28080</v>
      </c>
      <c r="J174" s="13" t="s">
        <v>149</v>
      </c>
      <c r="L174" s="2"/>
    </row>
    <row r="175" spans="1:12" ht="18.75" x14ac:dyDescent="0.25">
      <c r="A175" s="9" t="s">
        <v>25</v>
      </c>
      <c r="B175" s="5"/>
      <c r="C175" s="4"/>
      <c r="D175" s="4" t="s">
        <v>76</v>
      </c>
      <c r="E175" s="41" t="s">
        <v>139</v>
      </c>
      <c r="F175" s="41" t="s">
        <v>139</v>
      </c>
      <c r="G175" s="14" t="s">
        <v>55</v>
      </c>
      <c r="H175" s="41" t="s">
        <v>139</v>
      </c>
      <c r="I175" s="41" t="s">
        <v>139</v>
      </c>
      <c r="J175" s="13"/>
      <c r="L175" s="2"/>
    </row>
    <row r="176" spans="1:12" ht="47.25" x14ac:dyDescent="0.25">
      <c r="A176" s="9" t="s">
        <v>26</v>
      </c>
      <c r="B176" s="5"/>
      <c r="C176" s="4"/>
      <c r="D176" s="15" t="s">
        <v>28</v>
      </c>
      <c r="E176" s="41" t="s">
        <v>139</v>
      </c>
      <c r="F176" s="41" t="s">
        <v>139</v>
      </c>
      <c r="G176" s="14" t="s">
        <v>55</v>
      </c>
      <c r="H176" s="41" t="s">
        <v>139</v>
      </c>
      <c r="I176" s="41" t="s">
        <v>139</v>
      </c>
      <c r="J176" s="13"/>
      <c r="L176" s="2"/>
    </row>
    <row r="177" spans="1:12" ht="31.5" x14ac:dyDescent="0.25">
      <c r="A177" s="9" t="s">
        <v>27</v>
      </c>
      <c r="B177" s="5"/>
      <c r="C177" s="4"/>
      <c r="D177" s="15" t="s">
        <v>75</v>
      </c>
      <c r="E177" s="41" t="s">
        <v>139</v>
      </c>
      <c r="F177" s="41" t="s">
        <v>139</v>
      </c>
      <c r="G177" s="14" t="s">
        <v>55</v>
      </c>
      <c r="H177" s="41" t="s">
        <v>139</v>
      </c>
      <c r="I177" s="41" t="s">
        <v>139</v>
      </c>
      <c r="J177" s="13"/>
      <c r="L177" s="2"/>
    </row>
    <row r="178" spans="1:12" ht="18.75" x14ac:dyDescent="0.25">
      <c r="A178" s="46"/>
      <c r="B178" s="22"/>
      <c r="C178" s="22"/>
      <c r="D178" s="30"/>
      <c r="E178" s="45"/>
      <c r="F178" s="45"/>
      <c r="G178" s="12"/>
      <c r="H178" s="60"/>
      <c r="I178" s="60">
        <f>SUM(I174:I177)</f>
        <v>28080</v>
      </c>
      <c r="J178" s="13"/>
      <c r="L178" s="2"/>
    </row>
    <row r="179" spans="1:12" ht="18.75" x14ac:dyDescent="0.3">
      <c r="A179" s="72" t="s">
        <v>85</v>
      </c>
      <c r="B179" s="73"/>
      <c r="C179" s="73"/>
      <c r="D179" s="73"/>
      <c r="E179" s="73"/>
      <c r="F179" s="73"/>
      <c r="G179" s="74"/>
      <c r="H179" s="25"/>
      <c r="I179" s="25"/>
      <c r="J179" s="25"/>
      <c r="K179" s="2"/>
      <c r="L179" s="2"/>
    </row>
    <row r="180" spans="1:12" ht="48" x14ac:dyDescent="0.3">
      <c r="A180" s="6" t="s">
        <v>67</v>
      </c>
      <c r="B180" s="6"/>
      <c r="C180" s="4"/>
      <c r="D180" s="15" t="s">
        <v>86</v>
      </c>
      <c r="E180" s="41" t="s">
        <v>139</v>
      </c>
      <c r="F180" s="41">
        <f>98</f>
        <v>98</v>
      </c>
      <c r="G180" s="13" t="s">
        <v>114</v>
      </c>
      <c r="H180" s="44"/>
      <c r="I180" s="55">
        <f>F180*H180</f>
        <v>0</v>
      </c>
      <c r="J180" s="5" t="s">
        <v>123</v>
      </c>
      <c r="L180" s="2"/>
    </row>
    <row r="181" spans="1:12" ht="32.25" x14ac:dyDescent="0.3">
      <c r="A181" s="28"/>
      <c r="B181" s="29"/>
      <c r="C181" s="22"/>
      <c r="D181" s="30" t="s">
        <v>110</v>
      </c>
      <c r="E181" s="41">
        <v>1</v>
      </c>
      <c r="F181" s="41">
        <v>1</v>
      </c>
      <c r="G181" s="13" t="s">
        <v>111</v>
      </c>
      <c r="H181" s="41">
        <v>62004</v>
      </c>
      <c r="I181" s="43">
        <f>F181*H181</f>
        <v>62004</v>
      </c>
      <c r="J181" s="39" t="s">
        <v>119</v>
      </c>
      <c r="L181" s="2"/>
    </row>
    <row r="182" spans="1:12" ht="18.75" x14ac:dyDescent="0.3">
      <c r="A182" s="28"/>
      <c r="B182" s="29"/>
      <c r="C182" s="22"/>
      <c r="D182" s="30"/>
      <c r="E182" s="45"/>
      <c r="F182" s="45"/>
      <c r="G182" s="31"/>
      <c r="H182" s="45"/>
      <c r="I182" s="62">
        <f>SUM(I180:I181)</f>
        <v>62004</v>
      </c>
      <c r="J182" s="50"/>
      <c r="L182" s="2"/>
    </row>
    <row r="183" spans="1:12" ht="18.75" x14ac:dyDescent="0.3">
      <c r="A183" s="72" t="s">
        <v>100</v>
      </c>
      <c r="B183" s="73"/>
      <c r="C183" s="73"/>
      <c r="D183" s="73"/>
      <c r="E183" s="73"/>
      <c r="F183" s="73"/>
      <c r="G183" s="74"/>
      <c r="H183" s="72"/>
      <c r="I183" s="73"/>
      <c r="J183" s="73"/>
      <c r="L183" s="2"/>
    </row>
    <row r="184" spans="1:12" ht="32.25" x14ac:dyDescent="0.3">
      <c r="A184" s="34" t="s">
        <v>147</v>
      </c>
      <c r="B184" s="24"/>
      <c r="C184" s="24"/>
      <c r="D184" s="40" t="s">
        <v>133</v>
      </c>
      <c r="E184" s="13"/>
      <c r="F184" s="13">
        <f>1</f>
        <v>1</v>
      </c>
      <c r="G184" s="13" t="s">
        <v>134</v>
      </c>
      <c r="H184" s="13">
        <f>800/F184</f>
        <v>800</v>
      </c>
      <c r="I184" s="57">
        <f t="shared" ref="I184:I187" si="20">F184*H184</f>
        <v>800</v>
      </c>
      <c r="J184" s="13" t="s">
        <v>124</v>
      </c>
      <c r="L184" s="2"/>
    </row>
    <row r="185" spans="1:12" ht="48" x14ac:dyDescent="0.3">
      <c r="A185" s="24"/>
      <c r="B185" s="24"/>
      <c r="C185" s="24"/>
      <c r="D185" s="40" t="s">
        <v>135</v>
      </c>
      <c r="E185" s="41"/>
      <c r="F185" s="41">
        <f>100+120</f>
        <v>220</v>
      </c>
      <c r="G185" s="13" t="s">
        <v>136</v>
      </c>
      <c r="H185" s="41">
        <f>(70000+84000)/F185</f>
        <v>700</v>
      </c>
      <c r="I185" s="55">
        <f>F185*H185</f>
        <v>154000</v>
      </c>
      <c r="J185" s="13" t="s">
        <v>124</v>
      </c>
      <c r="L185" s="2"/>
    </row>
    <row r="186" spans="1:12" ht="32.25" x14ac:dyDescent="0.3">
      <c r="A186" s="24"/>
      <c r="B186" s="24"/>
      <c r="C186" s="24"/>
      <c r="D186" s="40" t="s">
        <v>180</v>
      </c>
      <c r="E186" s="13"/>
      <c r="F186" s="13">
        <f>1150+420+180+120</f>
        <v>1870</v>
      </c>
      <c r="G186" s="13" t="s">
        <v>137</v>
      </c>
      <c r="H186" s="33">
        <f>(52705+19249+8249+5500)/F186</f>
        <v>45.830481283422458</v>
      </c>
      <c r="I186" s="57">
        <f t="shared" si="20"/>
        <v>85703</v>
      </c>
      <c r="J186" s="13" t="s">
        <v>124</v>
      </c>
      <c r="L186" s="2"/>
    </row>
    <row r="187" spans="1:12" ht="32.25" x14ac:dyDescent="0.3">
      <c r="A187" s="24"/>
      <c r="B187" s="24"/>
      <c r="C187" s="24"/>
      <c r="D187" s="40" t="s">
        <v>181</v>
      </c>
      <c r="E187" s="13"/>
      <c r="F187" s="13">
        <f>390+480</f>
        <v>870</v>
      </c>
      <c r="G187" s="13" t="s">
        <v>137</v>
      </c>
      <c r="H187" s="33">
        <f>(17874+21998)/F187</f>
        <v>45.829885057471266</v>
      </c>
      <c r="I187" s="57">
        <f t="shared" si="20"/>
        <v>39872</v>
      </c>
      <c r="J187" s="13" t="s">
        <v>124</v>
      </c>
      <c r="L187" s="2"/>
    </row>
    <row r="188" spans="1:12" ht="32.25" x14ac:dyDescent="0.3">
      <c r="A188" s="24"/>
      <c r="B188" s="24"/>
      <c r="C188" s="24"/>
      <c r="D188" s="40" t="s">
        <v>223</v>
      </c>
      <c r="E188" s="13"/>
      <c r="F188" s="13">
        <v>3.2</v>
      </c>
      <c r="G188" s="13" t="s">
        <v>114</v>
      </c>
      <c r="H188" s="33">
        <f>83/F188</f>
        <v>25.9375</v>
      </c>
      <c r="I188" s="58">
        <f t="shared" ref="I188" si="21">F188*H188</f>
        <v>83</v>
      </c>
      <c r="J188" s="13" t="s">
        <v>123</v>
      </c>
      <c r="L188" s="2"/>
    </row>
    <row r="189" spans="1:12" ht="32.25" x14ac:dyDescent="0.3">
      <c r="A189" s="24"/>
      <c r="B189" s="24"/>
      <c r="C189" s="24"/>
      <c r="D189" s="40" t="s">
        <v>224</v>
      </c>
      <c r="E189" s="13"/>
      <c r="F189" s="13">
        <f>3.2</f>
        <v>3.2</v>
      </c>
      <c r="G189" s="13" t="s">
        <v>136</v>
      </c>
      <c r="H189" s="33">
        <f>77867.4/F189</f>
        <v>24333.562499999996</v>
      </c>
      <c r="I189" s="58">
        <f t="shared" ref="I189:I194" si="22">F189*H189</f>
        <v>77867.399999999994</v>
      </c>
      <c r="J189" s="13" t="s">
        <v>123</v>
      </c>
      <c r="L189" s="2"/>
    </row>
    <row r="190" spans="1:12" ht="32.25" x14ac:dyDescent="0.3">
      <c r="A190" s="24"/>
      <c r="B190" s="24"/>
      <c r="C190" s="24"/>
      <c r="D190" s="40" t="s">
        <v>225</v>
      </c>
      <c r="E190" s="13"/>
      <c r="F190" s="13">
        <f>20</f>
        <v>20</v>
      </c>
      <c r="G190" s="13" t="s">
        <v>114</v>
      </c>
      <c r="H190" s="13">
        <f>12386.2/F190</f>
        <v>619.31000000000006</v>
      </c>
      <c r="I190" s="58">
        <f t="shared" si="22"/>
        <v>12386.2</v>
      </c>
      <c r="J190" s="13" t="s">
        <v>123</v>
      </c>
      <c r="L190" s="2"/>
    </row>
    <row r="191" spans="1:12" ht="72" customHeight="1" x14ac:dyDescent="0.3">
      <c r="A191" s="24"/>
      <c r="B191" s="24"/>
      <c r="C191" s="24"/>
      <c r="D191" s="40" t="s">
        <v>226</v>
      </c>
      <c r="E191" s="13"/>
      <c r="F191" s="13">
        <v>20</v>
      </c>
      <c r="G191" s="13" t="s">
        <v>114</v>
      </c>
      <c r="H191" s="33">
        <f>129343/F191</f>
        <v>6467.15</v>
      </c>
      <c r="I191" s="58">
        <f t="shared" si="22"/>
        <v>129343</v>
      </c>
      <c r="J191" s="13" t="s">
        <v>123</v>
      </c>
      <c r="L191" s="2"/>
    </row>
    <row r="192" spans="1:12" ht="32.25" x14ac:dyDescent="0.3">
      <c r="A192" s="24"/>
      <c r="B192" s="24"/>
      <c r="C192" s="24"/>
      <c r="D192" s="40" t="s">
        <v>227</v>
      </c>
      <c r="E192" s="13"/>
      <c r="F192" s="13">
        <f>17.03</f>
        <v>17.03</v>
      </c>
      <c r="G192" s="13" t="s">
        <v>114</v>
      </c>
      <c r="H192" s="33">
        <f>8536/F192</f>
        <v>501.23311802701113</v>
      </c>
      <c r="I192" s="58">
        <f t="shared" si="22"/>
        <v>8536</v>
      </c>
      <c r="J192" s="13" t="s">
        <v>119</v>
      </c>
      <c r="L192" s="2"/>
    </row>
    <row r="193" spans="1:12" ht="48" x14ac:dyDescent="0.3">
      <c r="A193" s="24"/>
      <c r="B193" s="24"/>
      <c r="C193" s="24"/>
      <c r="D193" s="40" t="s">
        <v>252</v>
      </c>
      <c r="E193" s="13"/>
      <c r="F193" s="13">
        <v>0.433</v>
      </c>
      <c r="G193" s="13" t="s">
        <v>253</v>
      </c>
      <c r="H193" s="33">
        <f>4113.4/F193</f>
        <v>9499.7690531177814</v>
      </c>
      <c r="I193" s="58">
        <f>F193*H193</f>
        <v>4113.3999999999996</v>
      </c>
      <c r="J193" s="13" t="s">
        <v>119</v>
      </c>
      <c r="L193" s="2"/>
    </row>
    <row r="194" spans="1:12" ht="32.25" x14ac:dyDescent="0.3">
      <c r="A194" s="34"/>
      <c r="B194" s="14"/>
      <c r="C194" s="14"/>
      <c r="D194" s="40" t="s">
        <v>251</v>
      </c>
      <c r="E194" s="13"/>
      <c r="F194" s="13">
        <v>3</v>
      </c>
      <c r="G194" s="13" t="s">
        <v>31</v>
      </c>
      <c r="H194" s="33">
        <f>46305.4/F194</f>
        <v>15435.133333333333</v>
      </c>
      <c r="I194" s="58">
        <f t="shared" si="22"/>
        <v>46305.4</v>
      </c>
      <c r="J194" s="13" t="s">
        <v>119</v>
      </c>
      <c r="L194" s="2"/>
    </row>
    <row r="195" spans="1:12" ht="18.75" x14ac:dyDescent="0.3">
      <c r="A195" s="34"/>
      <c r="B195" s="14"/>
      <c r="C195" s="14"/>
      <c r="D195" s="40" t="s">
        <v>237</v>
      </c>
      <c r="E195" s="13"/>
      <c r="F195" s="13">
        <f>5</f>
        <v>5</v>
      </c>
      <c r="G195" s="13" t="s">
        <v>31</v>
      </c>
      <c r="H195" s="13">
        <f>54835/F195</f>
        <v>10967</v>
      </c>
      <c r="I195" s="58">
        <f t="shared" ref="I195:I200" si="23">F195*H195</f>
        <v>54835</v>
      </c>
      <c r="J195" s="14" t="s">
        <v>123</v>
      </c>
      <c r="L195" s="2"/>
    </row>
    <row r="196" spans="1:12" ht="32.25" x14ac:dyDescent="0.3">
      <c r="A196" s="34"/>
      <c r="B196" s="14"/>
      <c r="C196" s="14"/>
      <c r="D196" s="40" t="s">
        <v>233</v>
      </c>
      <c r="E196" s="13"/>
      <c r="F196" s="13">
        <f>1</f>
        <v>1</v>
      </c>
      <c r="G196" s="13" t="s">
        <v>31</v>
      </c>
      <c r="H196" s="13">
        <f>12195/F196</f>
        <v>12195</v>
      </c>
      <c r="I196" s="58">
        <f t="shared" si="23"/>
        <v>12195</v>
      </c>
      <c r="J196" s="14" t="s">
        <v>119</v>
      </c>
      <c r="L196" s="2"/>
    </row>
    <row r="197" spans="1:12" ht="47.25" x14ac:dyDescent="0.3">
      <c r="A197" s="34"/>
      <c r="B197" s="14"/>
      <c r="C197" s="14"/>
      <c r="D197" s="66" t="s">
        <v>240</v>
      </c>
      <c r="E197" s="14"/>
      <c r="F197" s="14">
        <v>1</v>
      </c>
      <c r="G197" s="38" t="s">
        <v>142</v>
      </c>
      <c r="H197" s="14">
        <v>6440</v>
      </c>
      <c r="I197" s="67">
        <f t="shared" si="23"/>
        <v>6440</v>
      </c>
      <c r="J197" s="14" t="s">
        <v>148</v>
      </c>
      <c r="L197" s="2"/>
    </row>
    <row r="198" spans="1:12" ht="18.75" x14ac:dyDescent="0.3">
      <c r="A198" s="34"/>
      <c r="B198" s="14"/>
      <c r="C198" s="14"/>
      <c r="D198" s="66" t="s">
        <v>241</v>
      </c>
      <c r="E198" s="14"/>
      <c r="F198" s="14">
        <v>1</v>
      </c>
      <c r="G198" s="38" t="s">
        <v>142</v>
      </c>
      <c r="H198" s="14">
        <v>27291</v>
      </c>
      <c r="I198" s="67">
        <f t="shared" si="23"/>
        <v>27291</v>
      </c>
      <c r="J198" s="14" t="s">
        <v>148</v>
      </c>
      <c r="L198" s="2"/>
    </row>
    <row r="199" spans="1:12" ht="31.5" x14ac:dyDescent="0.3">
      <c r="A199" s="34" t="s">
        <v>261</v>
      </c>
      <c r="B199" s="14"/>
      <c r="C199" s="14"/>
      <c r="D199" s="66" t="s">
        <v>262</v>
      </c>
      <c r="E199" s="14"/>
      <c r="F199" s="14">
        <f>1.2</f>
        <v>1.2</v>
      </c>
      <c r="G199" s="38" t="s">
        <v>114</v>
      </c>
      <c r="H199" s="68">
        <f>770/F199</f>
        <v>641.66666666666674</v>
      </c>
      <c r="I199" s="67">
        <f t="shared" si="23"/>
        <v>770.00000000000011</v>
      </c>
      <c r="J199" s="14" t="s">
        <v>122</v>
      </c>
      <c r="L199" s="2"/>
    </row>
    <row r="200" spans="1:12" ht="18.75" x14ac:dyDescent="0.3">
      <c r="A200" s="34"/>
      <c r="B200" s="14"/>
      <c r="C200" s="14"/>
      <c r="D200" s="66" t="s">
        <v>263</v>
      </c>
      <c r="E200" s="14"/>
      <c r="F200" s="14">
        <f>4.5</f>
        <v>4.5</v>
      </c>
      <c r="G200" s="38" t="s">
        <v>146</v>
      </c>
      <c r="H200" s="68">
        <f>1738.2/F200</f>
        <v>386.26666666666665</v>
      </c>
      <c r="I200" s="67">
        <f t="shared" si="23"/>
        <v>1738.1999999999998</v>
      </c>
      <c r="J200" s="14" t="s">
        <v>122</v>
      </c>
      <c r="L200" s="2"/>
    </row>
    <row r="201" spans="1:12" ht="15.75" x14ac:dyDescent="0.25">
      <c r="A201" s="25"/>
      <c r="B201" s="25"/>
      <c r="C201" s="25"/>
      <c r="D201" s="40"/>
      <c r="E201" s="13"/>
      <c r="F201" s="13"/>
      <c r="G201" s="13"/>
      <c r="H201" s="13"/>
      <c r="I201" s="33">
        <f>SUM(I184:I196)</f>
        <v>626039.4</v>
      </c>
      <c r="J201" s="14"/>
      <c r="K201" s="2"/>
      <c r="L201" s="2"/>
    </row>
    <row r="202" spans="1:12" ht="15.75" x14ac:dyDescent="0.25">
      <c r="A202" s="51" t="s">
        <v>208</v>
      </c>
      <c r="B202" s="25"/>
      <c r="C202" s="25"/>
      <c r="D202" s="40"/>
      <c r="E202" s="13"/>
      <c r="F202" s="13"/>
      <c r="G202" s="13"/>
      <c r="H202" s="13"/>
      <c r="I202" s="52">
        <f>I6+I7+I13+I19+I22+I24+I26+I30+I31+I37+I38+I42+I43+I44+I45+I46+I47+I48+I49+I50+I51+I52+I53+I54+I55+I56+I58+I59+I60+I61+I63+I64+I65+I66+I67+I69+I70+I71+I72+I73+I74+I76+I77+I78+I79+I81+I82+I83+I84+I85+I86+I87+I88+I92+I93+I97+I98+I99+I100+I105+I106+I107+I108+I109+I110+I113+I114+I116+I117+I118+I123+I124+I125+I126+I127+I128+I129+I130+I131+I133+I138+I139+I140+I142+I144+I151+I155+I157+I159+I160+I161+I162+I163+I164+I180+I184+I185+I186+I187+I188+I189+I190+I191+I192+I193+I194+I195+I196+I197+I198+I199+I200-0.2</f>
        <v>2690138.5999999982</v>
      </c>
      <c r="J202" s="14"/>
      <c r="K202" s="2"/>
      <c r="L202" s="2"/>
    </row>
    <row r="203" spans="1:12" ht="15.75" x14ac:dyDescent="0.25">
      <c r="A203" s="51" t="s">
        <v>179</v>
      </c>
      <c r="B203" s="25"/>
      <c r="C203" s="25"/>
      <c r="D203" s="40"/>
      <c r="E203" s="13"/>
      <c r="F203" s="13"/>
      <c r="G203" s="13"/>
      <c r="H203" s="13"/>
      <c r="I203" s="52">
        <f>I17+I40+I94+I119+I135+I145+I153+I168+I172+I178+I182+I201</f>
        <v>4453237.0000000009</v>
      </c>
      <c r="J203" s="14"/>
      <c r="K203" s="2"/>
      <c r="L203" s="2"/>
    </row>
    <row r="204" spans="1:12" ht="99.75" customHeight="1" x14ac:dyDescent="0.25">
      <c r="A204" s="69" t="s">
        <v>106</v>
      </c>
      <c r="B204" s="69"/>
      <c r="C204" s="69"/>
      <c r="D204" s="69"/>
      <c r="E204" s="69"/>
      <c r="F204" s="69"/>
      <c r="G204" s="69"/>
      <c r="H204" s="69"/>
      <c r="I204" s="69"/>
      <c r="J204" s="69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61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61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65"/>
      <c r="H208" s="2"/>
      <c r="I208" s="61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61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61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2"/>
      <c r="J230" s="2"/>
      <c r="K230" s="2"/>
      <c r="L230" s="2"/>
    </row>
  </sheetData>
  <mergeCells count="16">
    <mergeCell ref="A204:J204"/>
    <mergeCell ref="A2:J2"/>
    <mergeCell ref="A183:G183"/>
    <mergeCell ref="H183:J183"/>
    <mergeCell ref="I1:J1"/>
    <mergeCell ref="A136:G136"/>
    <mergeCell ref="A154:G154"/>
    <mergeCell ref="A179:G179"/>
    <mergeCell ref="A41:G41"/>
    <mergeCell ref="A18:G18"/>
    <mergeCell ref="A4:G4"/>
    <mergeCell ref="A169:G169"/>
    <mergeCell ref="A95:G95"/>
    <mergeCell ref="A120:G120"/>
    <mergeCell ref="A146:G146"/>
    <mergeCell ref="A173:G173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2025-01-28T13:02:08Z</cp:lastPrinted>
  <dcterms:created xsi:type="dcterms:W3CDTF">2017-05-29T12:14:13Z</dcterms:created>
  <dcterms:modified xsi:type="dcterms:W3CDTF">2025-03-14T04:40:42Z</dcterms:modified>
</cp:coreProperties>
</file>