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H8" i="1" l="1"/>
  <c r="I8" i="1" s="1"/>
  <c r="F68" i="1"/>
  <c r="H68" i="1" s="1"/>
  <c r="F67" i="1"/>
  <c r="H67" i="1" s="1"/>
  <c r="F66" i="1"/>
  <c r="F65" i="1"/>
  <c r="H65" i="1" s="1"/>
  <c r="F74" i="1"/>
  <c r="H74" i="1" s="1"/>
  <c r="F80" i="1"/>
  <c r="H80" i="1" s="1"/>
  <c r="F83" i="1"/>
  <c r="H83" i="1" s="1"/>
  <c r="F93" i="1"/>
  <c r="H93" i="1" s="1"/>
  <c r="F92" i="1"/>
  <c r="H92" i="1" s="1"/>
  <c r="H53" i="1"/>
  <c r="H66" i="1" l="1"/>
  <c r="I66" i="1" s="1"/>
  <c r="I68" i="1"/>
  <c r="I67" i="1"/>
  <c r="I65" i="1"/>
  <c r="I74" i="1"/>
  <c r="F90" i="1" l="1"/>
  <c r="H90" i="1" s="1"/>
  <c r="F41" i="1" l="1"/>
  <c r="H41" i="1" s="1"/>
  <c r="H6" i="1"/>
  <c r="I6" i="1" s="1"/>
  <c r="F5" i="1"/>
  <c r="F60" i="1"/>
  <c r="H60" i="1" s="1"/>
  <c r="F59" i="1"/>
  <c r="H59" i="1" s="1"/>
  <c r="H55" i="1"/>
  <c r="H54" i="1"/>
  <c r="H5" i="1" l="1"/>
  <c r="I5" i="1" s="1"/>
  <c r="I60" i="1"/>
  <c r="I41" i="1"/>
  <c r="I50" i="1" s="1"/>
  <c r="I116" i="1"/>
  <c r="H115" i="1"/>
  <c r="H31" i="1"/>
  <c r="I31" i="1" s="1"/>
  <c r="H82" i="1"/>
  <c r="F10" i="1"/>
  <c r="F113" i="1"/>
  <c r="H113" i="1" s="1"/>
  <c r="H7" i="1"/>
  <c r="I7" i="1" s="1"/>
  <c r="H81" i="1"/>
  <c r="I81" i="1" s="1"/>
  <c r="H58" i="1"/>
  <c r="H57" i="1"/>
  <c r="H56" i="1"/>
  <c r="H114" i="1"/>
  <c r="F91" i="1"/>
  <c r="H91" i="1" l="1"/>
  <c r="I91" i="1" s="1"/>
  <c r="H10" i="1"/>
  <c r="I10" i="1" s="1"/>
  <c r="I73" i="1" l="1"/>
  <c r="I58" i="1"/>
  <c r="I57" i="1"/>
  <c r="I115" i="1" l="1"/>
  <c r="I56" i="1"/>
  <c r="I82" i="1" l="1"/>
  <c r="I59" i="1"/>
  <c r="I90" i="1" l="1"/>
  <c r="I113" i="1"/>
  <c r="I118" i="1" s="1"/>
  <c r="I114" i="1"/>
  <c r="I80" i="1" l="1"/>
  <c r="I19" i="1" l="1"/>
  <c r="I38" i="1"/>
  <c r="I83" i="1"/>
  <c r="I85" i="1" s="1"/>
  <c r="I117" i="1" l="1"/>
  <c r="I78" i="1" l="1"/>
  <c r="I93" i="1"/>
  <c r="I108" i="1"/>
  <c r="I109" i="1" s="1"/>
  <c r="I53" i="1" l="1"/>
  <c r="I55" i="1" l="1"/>
  <c r="I54" i="1"/>
  <c r="I92" i="1"/>
  <c r="I94" i="1" s="1"/>
  <c r="I63" i="1" l="1"/>
  <c r="I101" i="1"/>
  <c r="I105" i="1" s="1"/>
  <c r="I97" i="1"/>
  <c r="I99" i="1" s="1"/>
  <c r="I119" i="1" l="1"/>
</calcChain>
</file>

<file path=xl/sharedStrings.xml><?xml version="1.0" encoding="utf-8"?>
<sst xmlns="http://schemas.openxmlformats.org/spreadsheetml/2006/main" count="482" uniqueCount="187">
  <si>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</si>
  <si>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</si>
  <si>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</si>
  <si>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</si>
  <si>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</si>
  <si>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</si>
  <si>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</si>
  <si>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</si>
  <si>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</si>
  <si>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</si>
  <si>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</si>
  <si>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</si>
  <si>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</si>
  <si>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</si>
  <si>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</si>
  <si>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</si>
  <si>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</si>
  <si>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</si>
  <si>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</si>
  <si>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</si>
  <si>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</si>
  <si>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</si>
  <si>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</si>
  <si>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</si>
  <si>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</si>
  <si>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</si>
  <si>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</si>
  <si>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</si>
  <si>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</si>
  <si>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</si>
  <si>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</si>
  <si>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</si>
  <si>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</si>
  <si>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</si>
  <si>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</si>
  <si>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</si>
  <si>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</si>
  <si>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</si>
  <si>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</si>
  <si>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</si>
  <si>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</si>
  <si>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</si>
  <si>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</si>
  <si>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</si>
  <si>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</si>
  <si>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</si>
  <si>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</si>
  <si>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</si>
  <si>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</si>
  <si>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</si>
  <si>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</si>
  <si>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</si>
  <si>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</si>
  <si>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</si>
  <si>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</si>
  <si>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</si>
  <si>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</si>
  <si>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</si>
  <si>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</si>
  <si>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</si>
  <si>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</si>
  <si>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</si>
  <si>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</si>
  <si>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</si>
  <si>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</si>
  <si>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</si>
  <si>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</si>
  <si>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</si>
  <si>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</si>
  <si>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</si>
  <si>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</si>
  <si>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</si>
  <si>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</si>
  <si>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</si>
  <si>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</si>
  <si>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</si>
  <si>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</si>
  <si>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</si>
  <si>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</si>
  <si>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</si>
  <si>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</si>
  <si>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</si>
  <si>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</si>
  <si>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</si>
  <si>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</si>
  <si>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</si>
  <si>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</si>
  <si>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</si>
  <si>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</si>
  <si>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</si>
  <si>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</si>
  <si>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</si>
  <si>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</si>
  <si>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</si>
  <si>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</si>
  <si>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</si>
  <si>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</si>
  <si>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</si>
  <si>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</si>
  <si>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</si>
  <si>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</si>
  <si>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</si>
  <si>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</si>
  <si>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</si>
  <si>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</si>
  <si>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</si>
  <si>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</si>
  <si>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</si>
  <si>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</si>
  <si>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</si>
  <si>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</si>
  <si>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</si>
  <si>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</si>
  <si>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</si>
  <si>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</si>
  <si>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</si>
  <si>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</si>
  <si>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</si>
  <si>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</si>
  <si>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</si>
  <si>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</si>
  <si>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</si>
  <si>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</si>
  <si>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</si>
  <si>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</si>
  <si>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</si>
  <si>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</si>
  <si>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</si>
  <si>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</si>
  <si>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</si>
  <si>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</si>
  <si>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</si>
  <si>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</si>
  <si>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</si>
  <si>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</si>
  <si>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</si>
  <si>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</si>
  <si>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</si>
  <si>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</si>
  <si>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</si>
  <si>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</si>
  <si>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</si>
  <si>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</si>
  <si>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</si>
  <si>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</si>
  <si>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</si>
  <si>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</si>
  <si>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</si>
  <si>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ремонт/частичная замена поврежденных участков при помощи альпинистов</t>
  </si>
  <si>
    <t>ремонт приемного клапана мусоропровода</t>
  </si>
  <si>
    <t>смена вентилей и клапанов обратных муфтовых диам. до 20мм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</si>
  <si>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</si>
  <si>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</si>
  <si>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</si>
  <si>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</si>
  <si>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</si>
  <si>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ламп накаливания</t>
  </si>
  <si>
    <t>ремонт и окраска дверей (восстановление фурнитуры и остекления) петли</t>
  </si>
  <si>
    <t>ремонт межпанельных швов без вскрытия</t>
  </si>
  <si>
    <t>установка фильтра диам. 80мм</t>
  </si>
  <si>
    <t>прокладка внутренних трубпроводов водоснабжения и отопления из полипропиленовых труб:диам. 40мм</t>
  </si>
  <si>
    <t>ремонт бетонных ступеней</t>
  </si>
  <si>
    <t xml:space="preserve"> смена кранов на шаровые краны диам.15,32мм</t>
  </si>
  <si>
    <t>дезинсекция от блох и тараканов</t>
  </si>
  <si>
    <t>устройство слуховых окон</t>
  </si>
  <si>
    <t>окно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</si>
  <si>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</si>
  <si>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</si>
  <si>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</si>
  <si>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установка шайб</t>
  </si>
  <si>
    <t>4 квартал</t>
  </si>
  <si>
    <t>смена кранов шаровых 15,20,32мм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</si>
  <si>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</si>
  <si>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ул.Заречная, дом 92  на 2024 г.
</t>
  </si>
  <si>
    <t>выполнение работ по проведению очистки кровли от снега и наледи кв 49</t>
  </si>
  <si>
    <t>1 квартал</t>
  </si>
  <si>
    <t>разборка трубопроводов из чугунных канализационных труб диам.100мм</t>
  </si>
  <si>
    <t>очистка кровли от снега</t>
  </si>
  <si>
    <t>выполнение работ по штукатурке фасада и смене альпиниста</t>
  </si>
  <si>
    <t>вырубка аварийного дерева в количестве 1 шт</t>
  </si>
  <si>
    <t>вывоз с погрузкой в машину объемом 8м3 прубочных остатков и щепы</t>
  </si>
  <si>
    <t xml:space="preserve">осмотр холодного водоснабжения </t>
  </si>
  <si>
    <t>ремонт и восстановление уплотнения стыков прокладками ПРП в 1 ряд с стенах,оконных,дверных и балконных блоках</t>
  </si>
  <si>
    <t>смена выключателей</t>
  </si>
  <si>
    <t>ремонт мягкого покрытия кровли под.№3 кв 49</t>
  </si>
  <si>
    <t>ремонт мягкого покрытия кровли под.№3  кв №49</t>
  </si>
  <si>
    <t>выполнение работ по очистке кровли от снега и наледи по периметру жилого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</si>
</sst>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tabSelected="1" topLeftCell="D118" zoomScale="91" zoomScaleNormal="91" workbookViewId="0">
      <selection activeCell="F122" sqref="F122:J12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98</v>
      </c>
      <c r="J1" s="72"/>
    </row>
    <row r="2" spans="1:12" ht="70.5" customHeight="1" x14ac:dyDescent="0.25">
      <c r="A2" s="67" t="s">
        <v>173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3" t="s">
        <v>89</v>
      </c>
      <c r="B4" s="74"/>
      <c r="C4" s="74"/>
      <c r="D4" s="74"/>
      <c r="E4" s="74"/>
      <c r="F4" s="74"/>
      <c r="G4" s="7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184</v>
      </c>
      <c r="E5" s="41"/>
      <c r="F5" s="41">
        <f>273.66</f>
        <v>273.66000000000003</v>
      </c>
      <c r="G5" s="13" t="s">
        <v>115</v>
      </c>
      <c r="H5" s="41">
        <f>177879/F5</f>
        <v>649.99999999999989</v>
      </c>
      <c r="I5" s="63">
        <f>F5*H5</f>
        <v>177878.99999999997</v>
      </c>
      <c r="J5" s="13" t="s">
        <v>120</v>
      </c>
      <c r="K5" s="2"/>
      <c r="L5" s="2"/>
    </row>
    <row r="6" spans="1:12" ht="32.25" x14ac:dyDescent="0.3">
      <c r="A6" s="6"/>
      <c r="B6" s="5"/>
      <c r="C6" s="4"/>
      <c r="D6" s="15" t="s">
        <v>185</v>
      </c>
      <c r="E6" s="41"/>
      <c r="F6" s="41">
        <v>10.08</v>
      </c>
      <c r="G6" s="13" t="s">
        <v>115</v>
      </c>
      <c r="H6" s="41">
        <f>13104/F6</f>
        <v>1300</v>
      </c>
      <c r="I6" s="63">
        <f>F6*H6</f>
        <v>13104</v>
      </c>
      <c r="J6" s="13" t="s">
        <v>120</v>
      </c>
      <c r="K6" s="2"/>
      <c r="L6" s="2"/>
    </row>
    <row r="7" spans="1:12" ht="18.75" x14ac:dyDescent="0.3">
      <c r="A7" s="6"/>
      <c r="B7" s="5"/>
      <c r="C7" s="4"/>
      <c r="D7" s="15" t="s">
        <v>177</v>
      </c>
      <c r="E7" s="41"/>
      <c r="F7" s="41">
        <v>30</v>
      </c>
      <c r="G7" s="13" t="s">
        <v>115</v>
      </c>
      <c r="H7" s="41">
        <f>(1060+548.6)/F7</f>
        <v>53.62</v>
      </c>
      <c r="I7" s="57">
        <f>F7*H7</f>
        <v>1608.6</v>
      </c>
      <c r="J7" s="13" t="s">
        <v>175</v>
      </c>
      <c r="K7" s="2"/>
      <c r="L7" s="2"/>
    </row>
    <row r="8" spans="1:12" ht="32.25" x14ac:dyDescent="0.3">
      <c r="A8" s="6"/>
      <c r="B8" s="5"/>
      <c r="C8" s="4"/>
      <c r="D8" s="15" t="s">
        <v>186</v>
      </c>
      <c r="E8" s="41"/>
      <c r="F8" s="41">
        <v>1</v>
      </c>
      <c r="G8" s="13" t="s">
        <v>141</v>
      </c>
      <c r="H8" s="41">
        <f>10000/F8</f>
        <v>10000</v>
      </c>
      <c r="I8" s="57">
        <f>F8*H8</f>
        <v>10000</v>
      </c>
      <c r="J8" s="13" t="s">
        <v>170</v>
      </c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148</v>
      </c>
      <c r="E9" s="41"/>
      <c r="F9" s="41"/>
      <c r="G9" s="13" t="s">
        <v>30</v>
      </c>
      <c r="H9" s="41" t="s">
        <v>138</v>
      </c>
      <c r="I9" s="41" t="s">
        <v>138</v>
      </c>
      <c r="J9" s="13"/>
      <c r="K9" s="2"/>
      <c r="L9" s="2"/>
    </row>
    <row r="10" spans="1:12" ht="35.25" customHeight="1" x14ac:dyDescent="0.3">
      <c r="A10" s="6"/>
      <c r="B10" s="5"/>
      <c r="C10" s="4"/>
      <c r="D10" s="15" t="s">
        <v>174</v>
      </c>
      <c r="E10" s="41"/>
      <c r="F10" s="41">
        <f>1+1+2</f>
        <v>4</v>
      </c>
      <c r="G10" s="13" t="s">
        <v>141</v>
      </c>
      <c r="H10" s="41">
        <f>(10000+10000+20000)/F10</f>
        <v>10000</v>
      </c>
      <c r="I10" s="57">
        <f>F10*H10</f>
        <v>40000</v>
      </c>
      <c r="J10" s="13" t="s">
        <v>175</v>
      </c>
      <c r="K10" s="2"/>
      <c r="L10" s="2"/>
    </row>
    <row r="11" spans="1:12" ht="28.5" customHeight="1" x14ac:dyDescent="0.3">
      <c r="A11" s="6" t="s">
        <v>2</v>
      </c>
      <c r="B11" s="5"/>
      <c r="C11" s="4"/>
      <c r="D11" s="15" t="s">
        <v>39</v>
      </c>
      <c r="E11" s="41" t="s">
        <v>138</v>
      </c>
      <c r="F11" s="41" t="s">
        <v>138</v>
      </c>
      <c r="G11" s="13" t="s">
        <v>30</v>
      </c>
      <c r="H11" s="41" t="s">
        <v>138</v>
      </c>
      <c r="I11" s="41" t="s">
        <v>138</v>
      </c>
      <c r="J11" s="13"/>
      <c r="K11" s="2"/>
      <c r="L11" s="2"/>
    </row>
    <row r="12" spans="1:12" ht="18.75" x14ac:dyDescent="0.3">
      <c r="A12" s="7" t="s">
        <v>3</v>
      </c>
      <c r="B12" s="5"/>
      <c r="C12" s="4"/>
      <c r="D12" s="15" t="s">
        <v>38</v>
      </c>
      <c r="E12" s="41" t="s">
        <v>138</v>
      </c>
      <c r="F12" s="41" t="s">
        <v>138</v>
      </c>
      <c r="G12" s="13" t="s">
        <v>30</v>
      </c>
      <c r="H12" s="41" t="s">
        <v>138</v>
      </c>
      <c r="I12" s="41" t="s">
        <v>138</v>
      </c>
      <c r="J12" s="13"/>
      <c r="K12" s="2"/>
      <c r="L12" s="2"/>
    </row>
    <row r="13" spans="1:12" ht="32.25" x14ac:dyDescent="0.3">
      <c r="A13" s="6" t="s">
        <v>4</v>
      </c>
      <c r="B13" s="5"/>
      <c r="C13" s="4"/>
      <c r="D13" s="15" t="s">
        <v>37</v>
      </c>
      <c r="E13" s="41" t="s">
        <v>138</v>
      </c>
      <c r="F13" s="41" t="s">
        <v>138</v>
      </c>
      <c r="G13" s="13" t="s">
        <v>30</v>
      </c>
      <c r="H13" s="41" t="s">
        <v>138</v>
      </c>
      <c r="I13" s="41" t="s">
        <v>138</v>
      </c>
      <c r="J13" s="13"/>
      <c r="K13" s="2"/>
      <c r="L13" s="2"/>
    </row>
    <row r="14" spans="1:12" ht="18.75" x14ac:dyDescent="0.3">
      <c r="A14" s="6"/>
      <c r="B14" s="5"/>
      <c r="C14" s="4"/>
      <c r="D14" s="15" t="s">
        <v>164</v>
      </c>
      <c r="E14" s="41"/>
      <c r="F14" s="41"/>
      <c r="G14" s="13" t="s">
        <v>165</v>
      </c>
      <c r="H14" s="41"/>
      <c r="I14" s="41"/>
      <c r="J14" s="13"/>
      <c r="K14" s="2"/>
      <c r="L14" s="2"/>
    </row>
    <row r="15" spans="1:12" ht="18.75" x14ac:dyDescent="0.3">
      <c r="A15" s="6" t="s">
        <v>5</v>
      </c>
      <c r="B15" s="5"/>
      <c r="C15" s="4"/>
      <c r="D15" s="4" t="s">
        <v>88</v>
      </c>
      <c r="E15" s="41" t="s">
        <v>138</v>
      </c>
      <c r="F15" s="41" t="s">
        <v>138</v>
      </c>
      <c r="G15" s="13" t="s">
        <v>31</v>
      </c>
      <c r="H15" s="41" t="s">
        <v>138</v>
      </c>
      <c r="I15" s="41" t="s">
        <v>138</v>
      </c>
      <c r="J15" s="13"/>
      <c r="K15" s="2"/>
      <c r="L15" s="2"/>
    </row>
    <row r="16" spans="1:12" ht="37.5" x14ac:dyDescent="0.3">
      <c r="A16" s="6" t="s">
        <v>6</v>
      </c>
      <c r="B16" s="5"/>
      <c r="C16" s="4"/>
      <c r="D16" s="4" t="s">
        <v>36</v>
      </c>
      <c r="E16" s="41" t="s">
        <v>138</v>
      </c>
      <c r="F16" s="41" t="s">
        <v>138</v>
      </c>
      <c r="G16" s="14" t="s">
        <v>31</v>
      </c>
      <c r="H16" s="41" t="s">
        <v>138</v>
      </c>
      <c r="I16" s="41" t="s">
        <v>138</v>
      </c>
      <c r="J16" s="13"/>
      <c r="K16" s="2"/>
      <c r="L16" s="2"/>
    </row>
    <row r="17" spans="1:12" ht="32.25" x14ac:dyDescent="0.3">
      <c r="A17" s="6" t="s">
        <v>64</v>
      </c>
      <c r="B17" s="5"/>
      <c r="C17" s="4"/>
      <c r="D17" s="15" t="s">
        <v>53</v>
      </c>
      <c r="E17" s="41" t="s">
        <v>138</v>
      </c>
      <c r="F17" s="41" t="s">
        <v>138</v>
      </c>
      <c r="G17" s="13" t="s">
        <v>30</v>
      </c>
      <c r="H17" s="41" t="s">
        <v>138</v>
      </c>
      <c r="I17" s="41" t="s">
        <v>138</v>
      </c>
      <c r="J17" s="13"/>
      <c r="L17" s="2"/>
    </row>
    <row r="18" spans="1:12" ht="27" customHeight="1" x14ac:dyDescent="0.3">
      <c r="A18" s="6" t="s">
        <v>7</v>
      </c>
      <c r="B18" s="5"/>
      <c r="C18" s="4"/>
      <c r="D18" s="15" t="s">
        <v>34</v>
      </c>
      <c r="E18" s="41" t="s">
        <v>138</v>
      </c>
      <c r="F18" s="41" t="s">
        <v>138</v>
      </c>
      <c r="G18" s="13" t="s">
        <v>30</v>
      </c>
      <c r="H18" s="41" t="s">
        <v>138</v>
      </c>
      <c r="I18" s="41" t="s">
        <v>138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46"/>
      <c r="F19" s="46"/>
      <c r="G19" s="31"/>
      <c r="H19" s="41"/>
      <c r="I19" s="41">
        <f>SUM(I5:I18)</f>
        <v>242591.59999999998</v>
      </c>
      <c r="J19" s="13"/>
      <c r="K19" s="2"/>
      <c r="L19" s="2"/>
    </row>
    <row r="20" spans="1:12" ht="18.75" x14ac:dyDescent="0.3">
      <c r="A20" s="73" t="s">
        <v>57</v>
      </c>
      <c r="B20" s="74"/>
      <c r="C20" s="74"/>
      <c r="D20" s="74"/>
      <c r="E20" s="74"/>
      <c r="F20" s="74"/>
      <c r="G20" s="75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97</v>
      </c>
      <c r="E21" s="41"/>
      <c r="F21" s="41"/>
      <c r="G21" s="14" t="s">
        <v>55</v>
      </c>
      <c r="H21" s="41"/>
      <c r="I21" s="41"/>
      <c r="J21" s="13"/>
      <c r="L21" s="2"/>
    </row>
    <row r="22" spans="1:12" ht="18.75" x14ac:dyDescent="0.3">
      <c r="A22" s="6" t="s">
        <v>13</v>
      </c>
      <c r="B22" s="5"/>
      <c r="C22" s="4"/>
      <c r="D22" s="4" t="s">
        <v>42</v>
      </c>
      <c r="E22" s="41" t="s">
        <v>138</v>
      </c>
      <c r="F22" s="41" t="s">
        <v>138</v>
      </c>
      <c r="G22" s="14" t="s">
        <v>54</v>
      </c>
      <c r="H22" s="41" t="s">
        <v>138</v>
      </c>
      <c r="I22" s="41" t="s">
        <v>138</v>
      </c>
      <c r="J22" s="13"/>
      <c r="L22" s="2"/>
    </row>
    <row r="23" spans="1:12" ht="18.75" x14ac:dyDescent="0.3">
      <c r="A23" s="6" t="s">
        <v>9</v>
      </c>
      <c r="B23" s="5"/>
      <c r="C23" s="4"/>
      <c r="D23" s="4" t="s">
        <v>35</v>
      </c>
      <c r="E23" s="41" t="s">
        <v>138</v>
      </c>
      <c r="F23" s="41" t="s">
        <v>138</v>
      </c>
      <c r="G23" s="14" t="s">
        <v>54</v>
      </c>
      <c r="H23" s="41" t="s">
        <v>138</v>
      </c>
      <c r="I23" s="41" t="s">
        <v>138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 t="s">
        <v>138</v>
      </c>
      <c r="F24" s="41" t="s">
        <v>138</v>
      </c>
      <c r="G24" s="14" t="s">
        <v>54</v>
      </c>
      <c r="H24" s="41" t="s">
        <v>138</v>
      </c>
      <c r="I24" s="41" t="s">
        <v>138</v>
      </c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1" t="s">
        <v>138</v>
      </c>
      <c r="F25" s="41" t="s">
        <v>138</v>
      </c>
      <c r="G25" s="14" t="s">
        <v>54</v>
      </c>
      <c r="H25" s="41" t="s">
        <v>138</v>
      </c>
      <c r="I25" s="41" t="s">
        <v>138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142</v>
      </c>
      <c r="E26" s="41" t="s">
        <v>138</v>
      </c>
      <c r="F26" s="41"/>
      <c r="G26" s="14" t="s">
        <v>143</v>
      </c>
      <c r="H26" s="45"/>
      <c r="I26" s="56"/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1" t="s">
        <v>138</v>
      </c>
      <c r="F27" s="41" t="s">
        <v>138</v>
      </c>
      <c r="G27" s="13" t="s">
        <v>30</v>
      </c>
      <c r="H27" s="41" t="s">
        <v>138</v>
      </c>
      <c r="I27" s="41" t="s">
        <v>138</v>
      </c>
      <c r="J27" s="13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41</v>
      </c>
      <c r="E28" s="41" t="s">
        <v>138</v>
      </c>
      <c r="F28" s="41" t="s">
        <v>138</v>
      </c>
      <c r="G28" s="14" t="s">
        <v>54</v>
      </c>
      <c r="H28" s="41" t="s">
        <v>138</v>
      </c>
      <c r="I28" s="41" t="s">
        <v>138</v>
      </c>
      <c r="J28" s="13"/>
      <c r="K28" s="2"/>
      <c r="L28" s="2"/>
    </row>
    <row r="29" spans="1:12" ht="24.75" customHeight="1" x14ac:dyDescent="0.3">
      <c r="A29" s="6"/>
      <c r="B29" s="5"/>
      <c r="C29" s="4"/>
      <c r="D29" s="15" t="s">
        <v>161</v>
      </c>
      <c r="E29" s="41" t="s">
        <v>138</v>
      </c>
      <c r="F29" s="41" t="s">
        <v>138</v>
      </c>
      <c r="G29" s="14" t="s">
        <v>31</v>
      </c>
      <c r="H29" s="41" t="s">
        <v>138</v>
      </c>
      <c r="I29" s="41" t="s">
        <v>138</v>
      </c>
      <c r="J29" s="13"/>
      <c r="K29" s="2"/>
      <c r="L29" s="2"/>
    </row>
    <row r="30" spans="1:12" ht="18.75" x14ac:dyDescent="0.3">
      <c r="A30" s="6" t="s">
        <v>56</v>
      </c>
      <c r="B30" s="5"/>
      <c r="C30" s="4"/>
      <c r="D30" s="15" t="s">
        <v>158</v>
      </c>
      <c r="E30" s="41" t="s">
        <v>138</v>
      </c>
      <c r="F30" s="41" t="s">
        <v>138</v>
      </c>
      <c r="G30" s="14" t="s">
        <v>30</v>
      </c>
      <c r="H30" s="41" t="s">
        <v>138</v>
      </c>
      <c r="I30" s="41" t="s">
        <v>138</v>
      </c>
      <c r="J30" s="13"/>
      <c r="L30" s="2"/>
    </row>
    <row r="31" spans="1:12" ht="32.25" x14ac:dyDescent="0.3">
      <c r="A31" s="6"/>
      <c r="B31" s="5"/>
      <c r="C31" s="4"/>
      <c r="D31" s="15" t="s">
        <v>178</v>
      </c>
      <c r="E31" s="41" t="s">
        <v>138</v>
      </c>
      <c r="F31" s="41">
        <v>1</v>
      </c>
      <c r="G31" s="14" t="s">
        <v>141</v>
      </c>
      <c r="H31" s="41">
        <f>10000/F31</f>
        <v>10000</v>
      </c>
      <c r="I31" s="57">
        <f>F31*H31</f>
        <v>10000</v>
      </c>
      <c r="J31" s="13" t="s">
        <v>123</v>
      </c>
      <c r="L31" s="2"/>
    </row>
    <row r="32" spans="1:12" ht="32.25" x14ac:dyDescent="0.3">
      <c r="A32" s="6" t="s">
        <v>58</v>
      </c>
      <c r="B32" s="5"/>
      <c r="C32" s="4"/>
      <c r="D32" s="15" t="s">
        <v>96</v>
      </c>
      <c r="E32" s="41" t="s">
        <v>138</v>
      </c>
      <c r="F32" s="41" t="s">
        <v>138</v>
      </c>
      <c r="G32" s="14" t="s">
        <v>54</v>
      </c>
      <c r="H32" s="41" t="s">
        <v>138</v>
      </c>
      <c r="I32" s="41" t="s">
        <v>138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95</v>
      </c>
      <c r="E33" s="41" t="s">
        <v>138</v>
      </c>
      <c r="F33" s="41" t="s">
        <v>138</v>
      </c>
      <c r="G33" s="14" t="s">
        <v>55</v>
      </c>
      <c r="H33" s="41" t="s">
        <v>138</v>
      </c>
      <c r="I33" s="41" t="s">
        <v>138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1" t="s">
        <v>138</v>
      </c>
      <c r="F34" s="41" t="s">
        <v>138</v>
      </c>
      <c r="G34" s="14" t="s">
        <v>55</v>
      </c>
      <c r="H34" s="41" t="s">
        <v>138</v>
      </c>
      <c r="I34" s="41" t="s">
        <v>138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1" t="s">
        <v>138</v>
      </c>
      <c r="F35" s="41" t="s">
        <v>138</v>
      </c>
      <c r="G35" s="14" t="s">
        <v>54</v>
      </c>
      <c r="H35" s="41" t="s">
        <v>138</v>
      </c>
      <c r="I35" s="41" t="s">
        <v>138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1" t="s">
        <v>138</v>
      </c>
      <c r="F36" s="41" t="s">
        <v>138</v>
      </c>
      <c r="G36" s="13" t="s">
        <v>30</v>
      </c>
      <c r="H36" s="41" t="s">
        <v>138</v>
      </c>
      <c r="I36" s="41" t="s">
        <v>138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1" t="s">
        <v>138</v>
      </c>
      <c r="F37" s="41" t="s">
        <v>138</v>
      </c>
      <c r="G37" s="14" t="s">
        <v>55</v>
      </c>
      <c r="H37" s="41" t="s">
        <v>138</v>
      </c>
      <c r="I37" s="41" t="s">
        <v>138</v>
      </c>
      <c r="J37" s="13"/>
      <c r="L37" s="2"/>
    </row>
    <row r="38" spans="1:12" ht="18.75" x14ac:dyDescent="0.3">
      <c r="A38" s="28"/>
      <c r="B38" s="22"/>
      <c r="C38" s="22"/>
      <c r="D38" s="22"/>
      <c r="E38" s="46"/>
      <c r="F38" s="46"/>
      <c r="G38" s="12"/>
      <c r="H38" s="41"/>
      <c r="I38" s="41">
        <f>SUM(I21:I37)</f>
        <v>10000</v>
      </c>
      <c r="J38" s="13"/>
      <c r="L38" s="2"/>
    </row>
    <row r="39" spans="1:12" ht="24" customHeight="1" x14ac:dyDescent="0.3">
      <c r="A39" s="73" t="s">
        <v>87</v>
      </c>
      <c r="B39" s="74"/>
      <c r="C39" s="74"/>
      <c r="D39" s="74"/>
      <c r="E39" s="74"/>
      <c r="F39" s="74"/>
      <c r="G39" s="75"/>
      <c r="H39" s="14"/>
      <c r="I39" s="5"/>
      <c r="J39" s="13"/>
      <c r="L39" s="2"/>
    </row>
    <row r="40" spans="1:12" ht="32.25" customHeight="1" x14ac:dyDescent="0.3">
      <c r="A40" s="6" t="s">
        <v>50</v>
      </c>
      <c r="B40" s="5"/>
      <c r="C40" s="4"/>
      <c r="D40" s="15" t="s">
        <v>157</v>
      </c>
      <c r="E40" s="41" t="s">
        <v>138</v>
      </c>
      <c r="F40" s="41" t="s">
        <v>138</v>
      </c>
      <c r="G40" s="38" t="s">
        <v>31</v>
      </c>
      <c r="H40" s="41" t="s">
        <v>138</v>
      </c>
      <c r="I40" s="41" t="s">
        <v>138</v>
      </c>
      <c r="J40" s="13"/>
      <c r="L40" s="2"/>
    </row>
    <row r="41" spans="1:12" ht="48.75" customHeight="1" x14ac:dyDescent="0.3">
      <c r="A41" s="6"/>
      <c r="B41" s="5"/>
      <c r="C41" s="4"/>
      <c r="D41" s="15" t="s">
        <v>182</v>
      </c>
      <c r="E41" s="41" t="s">
        <v>138</v>
      </c>
      <c r="F41" s="41">
        <f>6.5</f>
        <v>6.5</v>
      </c>
      <c r="G41" s="13" t="s">
        <v>144</v>
      </c>
      <c r="H41" s="45">
        <f>2175.6/F41</f>
        <v>334.7076923076923</v>
      </c>
      <c r="I41" s="63">
        <f>F41*H41</f>
        <v>2175.6</v>
      </c>
      <c r="J41" s="13" t="s">
        <v>120</v>
      </c>
      <c r="L41" s="2"/>
    </row>
    <row r="42" spans="1:12" ht="32.25" x14ac:dyDescent="0.3">
      <c r="A42" s="6" t="s">
        <v>51</v>
      </c>
      <c r="B42" s="5"/>
      <c r="C42" s="4"/>
      <c r="D42" s="15" t="s">
        <v>101</v>
      </c>
      <c r="E42" s="41" t="s">
        <v>138</v>
      </c>
      <c r="F42" s="41" t="s">
        <v>138</v>
      </c>
      <c r="G42" s="13" t="s">
        <v>55</v>
      </c>
      <c r="H42" s="41" t="s">
        <v>138</v>
      </c>
      <c r="I42" s="41" t="s">
        <v>138</v>
      </c>
      <c r="J42" s="13"/>
      <c r="L42" s="2"/>
    </row>
    <row r="43" spans="1:12" ht="32.25" x14ac:dyDescent="0.3">
      <c r="A43" s="6" t="s">
        <v>60</v>
      </c>
      <c r="B43" s="8"/>
      <c r="C43" s="4"/>
      <c r="D43" s="15" t="s">
        <v>47</v>
      </c>
      <c r="E43" s="41" t="s">
        <v>138</v>
      </c>
      <c r="F43" s="41" t="s">
        <v>138</v>
      </c>
      <c r="G43" s="14" t="s">
        <v>54</v>
      </c>
      <c r="H43" s="41" t="s">
        <v>138</v>
      </c>
      <c r="I43" s="41" t="s">
        <v>138</v>
      </c>
      <c r="J43" s="13"/>
      <c r="L43" s="2"/>
    </row>
    <row r="44" spans="1:12" ht="18.75" x14ac:dyDescent="0.3">
      <c r="A44" s="6" t="s">
        <v>62</v>
      </c>
      <c r="B44" s="5"/>
      <c r="C44" s="4"/>
      <c r="D44" s="15" t="s">
        <v>52</v>
      </c>
      <c r="E44" s="41" t="s">
        <v>138</v>
      </c>
      <c r="F44" s="41" t="s">
        <v>138</v>
      </c>
      <c r="G44" s="14" t="s">
        <v>54</v>
      </c>
      <c r="H44" s="41" t="s">
        <v>138</v>
      </c>
      <c r="I44" s="41" t="s">
        <v>138</v>
      </c>
      <c r="J44" s="13"/>
      <c r="L44" s="2"/>
    </row>
    <row r="45" spans="1:12" ht="32.25" x14ac:dyDescent="0.3">
      <c r="A45" s="6" t="s">
        <v>63</v>
      </c>
      <c r="B45" s="5"/>
      <c r="C45" s="4"/>
      <c r="D45" s="15" t="s">
        <v>65</v>
      </c>
      <c r="E45" s="41" t="s">
        <v>138</v>
      </c>
      <c r="F45" s="41" t="s">
        <v>138</v>
      </c>
      <c r="G45" s="13" t="s">
        <v>30</v>
      </c>
      <c r="H45" s="41" t="s">
        <v>138</v>
      </c>
      <c r="I45" s="41" t="s">
        <v>138</v>
      </c>
      <c r="J45" s="13"/>
      <c r="L45" s="2"/>
    </row>
    <row r="46" spans="1:12" ht="18.75" x14ac:dyDescent="0.3">
      <c r="A46" s="6"/>
      <c r="B46" s="5"/>
      <c r="C46" s="4"/>
      <c r="D46" s="15" t="s">
        <v>149</v>
      </c>
      <c r="E46" s="41" t="s">
        <v>138</v>
      </c>
      <c r="F46" s="41" t="s">
        <v>138</v>
      </c>
      <c r="G46" s="13" t="s">
        <v>31</v>
      </c>
      <c r="H46" s="41" t="s">
        <v>138</v>
      </c>
      <c r="I46" s="41" t="s">
        <v>138</v>
      </c>
      <c r="J46" s="13"/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1" t="s">
        <v>138</v>
      </c>
      <c r="F47" s="41" t="s">
        <v>138</v>
      </c>
      <c r="G47" s="14" t="s">
        <v>54</v>
      </c>
      <c r="H47" s="41" t="s">
        <v>138</v>
      </c>
      <c r="I47" s="41" t="s">
        <v>138</v>
      </c>
      <c r="J47" s="13"/>
      <c r="L47" s="2"/>
    </row>
    <row r="48" spans="1:12" ht="24" customHeight="1" x14ac:dyDescent="0.3">
      <c r="A48" s="6" t="s">
        <v>61</v>
      </c>
      <c r="B48" s="8"/>
      <c r="C48" s="4"/>
      <c r="D48" s="4" t="s">
        <v>49</v>
      </c>
      <c r="E48" s="41" t="s">
        <v>138</v>
      </c>
      <c r="F48" s="41" t="s">
        <v>138</v>
      </c>
      <c r="G48" s="14" t="s">
        <v>54</v>
      </c>
      <c r="H48" s="41"/>
      <c r="I48" s="41" t="s">
        <v>138</v>
      </c>
      <c r="J48" s="13"/>
      <c r="L48" s="2"/>
    </row>
    <row r="49" spans="1:12" ht="18.75" x14ac:dyDescent="0.3">
      <c r="A49" s="6" t="s">
        <v>66</v>
      </c>
      <c r="B49" s="5"/>
      <c r="C49" s="4"/>
      <c r="D49" s="4" t="s">
        <v>94</v>
      </c>
      <c r="E49" s="41" t="s">
        <v>138</v>
      </c>
      <c r="F49" s="41"/>
      <c r="G49" s="14" t="s">
        <v>55</v>
      </c>
      <c r="H49" s="41"/>
      <c r="I49" s="57"/>
      <c r="J49" s="13"/>
      <c r="L49" s="2"/>
    </row>
    <row r="50" spans="1:12" ht="18.75" x14ac:dyDescent="0.3">
      <c r="A50" s="28"/>
      <c r="B50" s="22"/>
      <c r="C50" s="22"/>
      <c r="D50" s="22"/>
      <c r="E50" s="46"/>
      <c r="F50" s="46"/>
      <c r="G50" s="12"/>
      <c r="H50" s="41"/>
      <c r="I50" s="45">
        <f>SUM(I41:I49)</f>
        <v>2175.6</v>
      </c>
      <c r="J50" s="13"/>
      <c r="L50" s="2"/>
    </row>
    <row r="51" spans="1:12" ht="18.75" x14ac:dyDescent="0.3">
      <c r="A51" s="73" t="s">
        <v>68</v>
      </c>
      <c r="B51" s="74"/>
      <c r="C51" s="74"/>
      <c r="D51" s="74"/>
      <c r="E51" s="74"/>
      <c r="F51" s="74"/>
      <c r="G51" s="75"/>
      <c r="H51" s="18"/>
      <c r="I51" s="5"/>
      <c r="J51" s="13"/>
      <c r="L51" s="2"/>
    </row>
    <row r="52" spans="1:12" ht="37.5" x14ac:dyDescent="0.25">
      <c r="A52" s="9" t="s">
        <v>29</v>
      </c>
      <c r="B52" s="8"/>
      <c r="C52" s="4"/>
      <c r="D52" s="15" t="s">
        <v>140</v>
      </c>
      <c r="E52" s="41" t="s">
        <v>138</v>
      </c>
      <c r="F52" s="41" t="s">
        <v>138</v>
      </c>
      <c r="G52" s="13" t="s">
        <v>55</v>
      </c>
      <c r="H52" s="41"/>
      <c r="I52" s="41" t="s">
        <v>138</v>
      </c>
      <c r="J52" s="13"/>
      <c r="L52" s="2"/>
    </row>
    <row r="53" spans="1:12" ht="46.5" customHeight="1" x14ac:dyDescent="0.25">
      <c r="A53" s="9" t="s">
        <v>93</v>
      </c>
      <c r="B53" s="8"/>
      <c r="C53" s="4"/>
      <c r="D53" s="42" t="s">
        <v>126</v>
      </c>
      <c r="E53" s="32"/>
      <c r="F53" s="13">
        <v>980</v>
      </c>
      <c r="G53" s="13" t="s">
        <v>115</v>
      </c>
      <c r="H53" s="33">
        <f>(4586.8+4586.8+4586.8+4615.4+4615.4+4615.4+4795.2+4795.2+4795.2+4857.6+4857.6+4857.6)/F53</f>
        <v>57.719387755102041</v>
      </c>
      <c r="I53" s="33">
        <f t="shared" ref="I53:I55" si="0">F53*H53</f>
        <v>56565</v>
      </c>
      <c r="J53" s="13" t="s">
        <v>118</v>
      </c>
      <c r="L53" s="2"/>
    </row>
    <row r="54" spans="1:12" ht="46.5" customHeight="1" x14ac:dyDescent="0.25">
      <c r="A54" s="9"/>
      <c r="B54" s="8"/>
      <c r="C54" s="4"/>
      <c r="D54" s="15" t="s">
        <v>113</v>
      </c>
      <c r="E54" s="32"/>
      <c r="F54" s="13">
        <v>2707</v>
      </c>
      <c r="G54" s="13" t="s">
        <v>30</v>
      </c>
      <c r="H54" s="33">
        <f>256572/F54</f>
        <v>94.780938308090143</v>
      </c>
      <c r="I54" s="33">
        <f t="shared" si="0"/>
        <v>256572.00000000003</v>
      </c>
      <c r="J54" s="13" t="s">
        <v>120</v>
      </c>
      <c r="L54" s="2"/>
    </row>
    <row r="55" spans="1:12" ht="46.5" customHeight="1" x14ac:dyDescent="0.25">
      <c r="A55" s="9"/>
      <c r="B55" s="8"/>
      <c r="C55" s="4"/>
      <c r="D55" s="15" t="s">
        <v>114</v>
      </c>
      <c r="E55" s="41"/>
      <c r="F55" s="41">
        <v>98</v>
      </c>
      <c r="G55" s="13" t="s">
        <v>30</v>
      </c>
      <c r="H55" s="45">
        <f>9391.6/F55</f>
        <v>95.832653061224491</v>
      </c>
      <c r="I55" s="41">
        <f t="shared" si="0"/>
        <v>9391.6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152</v>
      </c>
      <c r="E56" s="31"/>
      <c r="F56" s="31">
        <v>2</v>
      </c>
      <c r="G56" s="13" t="s">
        <v>30</v>
      </c>
      <c r="H56" s="31">
        <f>708.6/F56</f>
        <v>354.3</v>
      </c>
      <c r="I56" s="58">
        <f>F56*H56</f>
        <v>708.6</v>
      </c>
      <c r="J56" s="13" t="s">
        <v>175</v>
      </c>
      <c r="L56" s="2"/>
    </row>
    <row r="57" spans="1:12" ht="66" customHeight="1" x14ac:dyDescent="0.25">
      <c r="A57" s="9"/>
      <c r="B57" s="8"/>
      <c r="C57" s="4"/>
      <c r="D57" s="15" t="s">
        <v>154</v>
      </c>
      <c r="E57" s="41"/>
      <c r="F57" s="41">
        <v>3</v>
      </c>
      <c r="G57" s="13" t="s">
        <v>151</v>
      </c>
      <c r="H57" s="41">
        <f>129.6/F57</f>
        <v>43.199999999999996</v>
      </c>
      <c r="I57" s="57">
        <f>F57*H57</f>
        <v>129.6</v>
      </c>
      <c r="J57" s="13" t="s">
        <v>175</v>
      </c>
      <c r="L57" s="2"/>
    </row>
    <row r="58" spans="1:12" ht="66.75" customHeight="1" x14ac:dyDescent="0.25">
      <c r="A58" s="9"/>
      <c r="B58" s="8"/>
      <c r="C58" s="4"/>
      <c r="D58" s="15" t="s">
        <v>155</v>
      </c>
      <c r="E58" s="41"/>
      <c r="F58" s="41">
        <v>2.5</v>
      </c>
      <c r="G58" s="13" t="s">
        <v>30</v>
      </c>
      <c r="H58" s="41">
        <f>1441.2/F58</f>
        <v>576.48</v>
      </c>
      <c r="I58" s="57">
        <f>F58*H58</f>
        <v>1441.2</v>
      </c>
      <c r="J58" s="13" t="s">
        <v>175</v>
      </c>
      <c r="L58" s="2"/>
    </row>
    <row r="59" spans="1:12" ht="46.5" customHeight="1" x14ac:dyDescent="0.25">
      <c r="A59" s="9"/>
      <c r="B59" s="8"/>
      <c r="C59" s="4"/>
      <c r="D59" s="15" t="s">
        <v>169</v>
      </c>
      <c r="E59" s="41" t="s">
        <v>138</v>
      </c>
      <c r="F59" s="41">
        <f>1</f>
        <v>1</v>
      </c>
      <c r="G59" s="13" t="s">
        <v>31</v>
      </c>
      <c r="H59" s="41">
        <f>1524.6/F59</f>
        <v>1524.6</v>
      </c>
      <c r="I59" s="57">
        <f>F59*H59</f>
        <v>1524.6</v>
      </c>
      <c r="J59" s="13" t="s">
        <v>120</v>
      </c>
      <c r="L59" s="2"/>
    </row>
    <row r="60" spans="1:12" ht="31.5" x14ac:dyDescent="0.25">
      <c r="A60" s="9" t="s">
        <v>84</v>
      </c>
      <c r="B60" s="8"/>
      <c r="C60" s="4"/>
      <c r="D60" s="15" t="s">
        <v>150</v>
      </c>
      <c r="E60" s="41" t="s">
        <v>138</v>
      </c>
      <c r="F60" s="41">
        <f>9</f>
        <v>9</v>
      </c>
      <c r="G60" s="13" t="s">
        <v>55</v>
      </c>
      <c r="H60" s="45">
        <f>10880/F60</f>
        <v>1208.8888888888889</v>
      </c>
      <c r="I60" s="63">
        <f>F60*H60</f>
        <v>10880</v>
      </c>
      <c r="J60" s="13" t="s">
        <v>120</v>
      </c>
      <c r="L60" s="2"/>
    </row>
    <row r="61" spans="1:12" ht="18.75" x14ac:dyDescent="0.25">
      <c r="A61" s="9" t="s">
        <v>20</v>
      </c>
      <c r="B61" s="8"/>
      <c r="C61" s="4"/>
      <c r="D61" s="15" t="s">
        <v>69</v>
      </c>
      <c r="E61" s="41" t="s">
        <v>138</v>
      </c>
      <c r="F61" s="41" t="s">
        <v>138</v>
      </c>
      <c r="G61" s="13" t="s">
        <v>30</v>
      </c>
      <c r="H61" s="41" t="s">
        <v>138</v>
      </c>
      <c r="I61" s="41" t="s">
        <v>138</v>
      </c>
      <c r="J61" s="13"/>
      <c r="L61" s="2"/>
    </row>
    <row r="62" spans="1:12" ht="31.5" x14ac:dyDescent="0.25">
      <c r="A62" s="9" t="s">
        <v>21</v>
      </c>
      <c r="B62" s="8"/>
      <c r="C62" s="4"/>
      <c r="D62" s="15" t="s">
        <v>71</v>
      </c>
      <c r="E62" s="41" t="s">
        <v>138</v>
      </c>
      <c r="F62" s="41" t="s">
        <v>138</v>
      </c>
      <c r="G62" s="13" t="s">
        <v>55</v>
      </c>
      <c r="H62" s="41" t="s">
        <v>138</v>
      </c>
      <c r="I62" s="41" t="s">
        <v>138</v>
      </c>
      <c r="J62" s="13"/>
      <c r="L62" s="2"/>
    </row>
    <row r="63" spans="1:12" ht="18.75" x14ac:dyDescent="0.25">
      <c r="A63" s="47"/>
      <c r="B63" s="48"/>
      <c r="C63" s="22"/>
      <c r="D63" s="30"/>
      <c r="E63" s="46"/>
      <c r="F63" s="46"/>
      <c r="G63" s="31"/>
      <c r="H63" s="41"/>
      <c r="I63" s="45">
        <f>SUM(I53:I62)</f>
        <v>337212.59999999992</v>
      </c>
      <c r="J63" s="13"/>
      <c r="L63" s="2"/>
    </row>
    <row r="64" spans="1:12" ht="18.75" x14ac:dyDescent="0.3">
      <c r="A64" s="69" t="s">
        <v>72</v>
      </c>
      <c r="B64" s="70"/>
      <c r="C64" s="70"/>
      <c r="D64" s="70"/>
      <c r="E64" s="70"/>
      <c r="F64" s="70"/>
      <c r="G64" s="71"/>
      <c r="H64" s="19"/>
      <c r="I64" s="5"/>
      <c r="J64" s="13"/>
      <c r="L64" s="2"/>
    </row>
    <row r="65" spans="1:12" ht="37.5" x14ac:dyDescent="0.25">
      <c r="A65" s="9" t="s">
        <v>93</v>
      </c>
      <c r="B65" s="8"/>
      <c r="C65" s="4"/>
      <c r="D65" s="4" t="s">
        <v>128</v>
      </c>
      <c r="E65" s="31"/>
      <c r="F65" s="13">
        <f>4+4+3+2+2+6+8+4+3</f>
        <v>36</v>
      </c>
      <c r="G65" s="13" t="s">
        <v>117</v>
      </c>
      <c r="H65" s="33">
        <f>(2808.4+2808.4+2118.2+1412.8+1468+2937+4405.2+5948.8+2972.6+2231.8)/F65/3</f>
        <v>269.54814814814813</v>
      </c>
      <c r="I65" s="33">
        <f>F65*H65</f>
        <v>9703.7333333333336</v>
      </c>
      <c r="J65" s="13" t="s">
        <v>118</v>
      </c>
      <c r="L65" s="2"/>
    </row>
    <row r="66" spans="1:12" ht="31.5" x14ac:dyDescent="0.25">
      <c r="A66" s="9"/>
      <c r="B66" s="8"/>
      <c r="C66" s="4"/>
      <c r="D66" s="15" t="s">
        <v>152</v>
      </c>
      <c r="E66" s="41" t="s">
        <v>138</v>
      </c>
      <c r="F66" s="41">
        <f>6</f>
        <v>6</v>
      </c>
      <c r="G66" s="13" t="s">
        <v>30</v>
      </c>
      <c r="H66" s="45">
        <f>2066/F66</f>
        <v>344.33333333333331</v>
      </c>
      <c r="I66" s="57">
        <f>F66*H66</f>
        <v>2066</v>
      </c>
      <c r="J66" s="13" t="s">
        <v>170</v>
      </c>
      <c r="L66" s="2"/>
    </row>
    <row r="67" spans="1:12" ht="78.75" x14ac:dyDescent="0.25">
      <c r="A67" s="9"/>
      <c r="B67" s="8"/>
      <c r="C67" s="4"/>
      <c r="D67" s="15" t="s">
        <v>153</v>
      </c>
      <c r="E67" s="41" t="s">
        <v>138</v>
      </c>
      <c r="F67" s="41">
        <f>9</f>
        <v>9</v>
      </c>
      <c r="G67" s="13" t="s">
        <v>151</v>
      </c>
      <c r="H67" s="45">
        <f>337/F67</f>
        <v>37.444444444444443</v>
      </c>
      <c r="I67" s="57">
        <f>F67*H67</f>
        <v>337</v>
      </c>
      <c r="J67" s="13" t="s">
        <v>170</v>
      </c>
      <c r="L67" s="2"/>
    </row>
    <row r="68" spans="1:12" ht="47.25" x14ac:dyDescent="0.25">
      <c r="A68" s="9"/>
      <c r="B68" s="8"/>
      <c r="C68" s="4"/>
      <c r="D68" s="15" t="s">
        <v>160</v>
      </c>
      <c r="E68" s="41" t="s">
        <v>138</v>
      </c>
      <c r="F68" s="41">
        <f>6</f>
        <v>6</v>
      </c>
      <c r="G68" s="13" t="s">
        <v>30</v>
      </c>
      <c r="H68" s="45">
        <f>2482.4/F68</f>
        <v>413.73333333333335</v>
      </c>
      <c r="I68" s="57">
        <f>F68*H68</f>
        <v>2482.4</v>
      </c>
      <c r="J68" s="13" t="s">
        <v>170</v>
      </c>
      <c r="L68" s="2"/>
    </row>
    <row r="69" spans="1:12" ht="18.75" x14ac:dyDescent="0.25">
      <c r="A69" s="9" t="s">
        <v>84</v>
      </c>
      <c r="B69" s="8"/>
      <c r="C69" s="4"/>
      <c r="D69" s="15" t="s">
        <v>70</v>
      </c>
      <c r="E69" s="41" t="s">
        <v>138</v>
      </c>
      <c r="F69" s="41" t="s">
        <v>138</v>
      </c>
      <c r="G69" s="13" t="s">
        <v>55</v>
      </c>
      <c r="H69" s="41"/>
      <c r="I69" s="41" t="s">
        <v>138</v>
      </c>
      <c r="J69" s="13"/>
      <c r="L69" s="2"/>
    </row>
    <row r="70" spans="1:12" ht="18.75" x14ac:dyDescent="0.25">
      <c r="A70" s="9"/>
      <c r="B70" s="8"/>
      <c r="C70" s="4"/>
      <c r="D70" s="15" t="s">
        <v>162</v>
      </c>
      <c r="E70" s="41"/>
      <c r="F70" s="41"/>
      <c r="G70" s="13" t="s">
        <v>31</v>
      </c>
      <c r="H70" s="41"/>
      <c r="I70" s="41"/>
      <c r="J70" s="13"/>
      <c r="L70" s="2"/>
    </row>
    <row r="71" spans="1:12" ht="18.75" x14ac:dyDescent="0.25">
      <c r="A71" s="9"/>
      <c r="B71" s="8"/>
      <c r="C71" s="4"/>
      <c r="D71" s="15" t="s">
        <v>159</v>
      </c>
      <c r="E71" s="41" t="s">
        <v>138</v>
      </c>
      <c r="F71" s="41" t="s">
        <v>138</v>
      </c>
      <c r="G71" s="13" t="s">
        <v>31</v>
      </c>
      <c r="H71" s="41" t="s">
        <v>138</v>
      </c>
      <c r="I71" s="41" t="s">
        <v>138</v>
      </c>
      <c r="J71" s="13"/>
      <c r="L71" s="2"/>
    </row>
    <row r="72" spans="1:12" ht="31.5" x14ac:dyDescent="0.25">
      <c r="A72" s="9" t="s">
        <v>21</v>
      </c>
      <c r="B72" s="8"/>
      <c r="C72" s="4"/>
      <c r="D72" s="15" t="s">
        <v>71</v>
      </c>
      <c r="E72" s="41" t="s">
        <v>138</v>
      </c>
      <c r="F72" s="41" t="s">
        <v>138</v>
      </c>
      <c r="G72" s="13" t="s">
        <v>141</v>
      </c>
      <c r="H72" s="41" t="s">
        <v>138</v>
      </c>
      <c r="I72" s="41" t="s">
        <v>138</v>
      </c>
      <c r="J72" s="13"/>
      <c r="L72" s="2"/>
    </row>
    <row r="73" spans="1:12" ht="18.75" x14ac:dyDescent="0.3">
      <c r="A73" s="69" t="s">
        <v>73</v>
      </c>
      <c r="B73" s="70"/>
      <c r="C73" s="70"/>
      <c r="D73" s="70"/>
      <c r="E73" s="70"/>
      <c r="F73" s="70"/>
      <c r="G73" s="71"/>
      <c r="H73" s="13"/>
      <c r="I73" s="33">
        <f>SUM(I65:I72)</f>
        <v>14589.133333333333</v>
      </c>
      <c r="J73" s="13"/>
      <c r="L73" s="2"/>
    </row>
    <row r="74" spans="1:12" ht="37.5" x14ac:dyDescent="0.25">
      <c r="A74" s="9" t="s">
        <v>93</v>
      </c>
      <c r="B74" s="8"/>
      <c r="C74" s="4"/>
      <c r="D74" s="4" t="s">
        <v>181</v>
      </c>
      <c r="E74" s="31"/>
      <c r="F74" s="13">
        <f>4+4+3+2+2+6+8+4+3</f>
        <v>36</v>
      </c>
      <c r="G74" s="13" t="s">
        <v>117</v>
      </c>
      <c r="H74" s="33">
        <f>(2808.4+2808.4+2118.2+1412.8+1468+2937+4405.2+5948.8+2972.6+2231.8)/F74/3</f>
        <v>269.54814814814813</v>
      </c>
      <c r="I74" s="33">
        <f>F74*H74</f>
        <v>9703.7333333333336</v>
      </c>
      <c r="J74" s="13" t="s">
        <v>118</v>
      </c>
      <c r="L74" s="2"/>
    </row>
    <row r="75" spans="1:12" ht="18.75" x14ac:dyDescent="0.25">
      <c r="A75" s="9" t="s">
        <v>84</v>
      </c>
      <c r="B75" s="8"/>
      <c r="C75" s="4"/>
      <c r="D75" s="15" t="s">
        <v>70</v>
      </c>
      <c r="E75" s="41" t="s">
        <v>138</v>
      </c>
      <c r="F75" s="41" t="s">
        <v>138</v>
      </c>
      <c r="G75" s="14" t="s">
        <v>55</v>
      </c>
      <c r="H75" s="41" t="s">
        <v>138</v>
      </c>
      <c r="I75" s="41" t="s">
        <v>138</v>
      </c>
      <c r="J75" s="13"/>
      <c r="L75" s="2"/>
    </row>
    <row r="76" spans="1:12" ht="18.75" x14ac:dyDescent="0.25">
      <c r="A76" s="9"/>
      <c r="B76" s="8"/>
      <c r="C76" s="4"/>
      <c r="D76" s="15" t="s">
        <v>171</v>
      </c>
      <c r="E76" s="41"/>
      <c r="F76" s="41"/>
      <c r="G76" s="14" t="s">
        <v>31</v>
      </c>
      <c r="H76" s="41"/>
      <c r="I76" s="57"/>
      <c r="J76" s="13"/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1" t="s">
        <v>138</v>
      </c>
      <c r="F77" s="41" t="s">
        <v>138</v>
      </c>
      <c r="G77" s="14" t="s">
        <v>55</v>
      </c>
      <c r="H77" s="41" t="s">
        <v>138</v>
      </c>
      <c r="I77" s="41" t="s">
        <v>138</v>
      </c>
      <c r="J77" s="13"/>
      <c r="L77" s="2"/>
    </row>
    <row r="78" spans="1:12" ht="18.75" x14ac:dyDescent="0.25">
      <c r="A78" s="47"/>
      <c r="B78" s="48"/>
      <c r="C78" s="22"/>
      <c r="D78" s="30"/>
      <c r="E78" s="46"/>
      <c r="F78" s="46"/>
      <c r="G78" s="12"/>
      <c r="H78" s="41"/>
      <c r="I78" s="45">
        <f>SUM(I74:I77)</f>
        <v>9703.7333333333336</v>
      </c>
      <c r="J78" s="13"/>
      <c r="L78" s="2"/>
    </row>
    <row r="79" spans="1:12" ht="18.75" x14ac:dyDescent="0.3">
      <c r="A79" s="69" t="s">
        <v>74</v>
      </c>
      <c r="B79" s="70"/>
      <c r="C79" s="70"/>
      <c r="D79" s="70"/>
      <c r="E79" s="70"/>
      <c r="F79" s="70"/>
      <c r="G79" s="71"/>
      <c r="H79" s="19"/>
      <c r="I79" s="5"/>
      <c r="J79" s="13"/>
      <c r="L79" s="2"/>
    </row>
    <row r="80" spans="1:12" ht="37.5" x14ac:dyDescent="0.25">
      <c r="A80" s="9" t="s">
        <v>99</v>
      </c>
      <c r="B80" s="8"/>
      <c r="C80" s="4"/>
      <c r="D80" s="4" t="s">
        <v>129</v>
      </c>
      <c r="E80" s="31"/>
      <c r="F80" s="13">
        <f>4+4+3+2+2+6+8+4+3</f>
        <v>36</v>
      </c>
      <c r="G80" s="13" t="s">
        <v>117</v>
      </c>
      <c r="H80" s="33">
        <f>(2808.4+2808.4+2118.2+1412.8+1468+2937+4405.2+5948.8+2972.6+2231.8)/F80/3</f>
        <v>269.54814814814813</v>
      </c>
      <c r="I80" s="33">
        <f>F80*H80</f>
        <v>9703.7333333333336</v>
      </c>
      <c r="J80" s="13" t="s">
        <v>118</v>
      </c>
      <c r="L80" s="2"/>
    </row>
    <row r="81" spans="1:12" ht="31.5" x14ac:dyDescent="0.25">
      <c r="A81" s="9"/>
      <c r="B81" s="8"/>
      <c r="C81" s="4"/>
      <c r="D81" s="15" t="s">
        <v>176</v>
      </c>
      <c r="E81" s="31"/>
      <c r="F81" s="31">
        <v>3</v>
      </c>
      <c r="G81" s="13" t="s">
        <v>144</v>
      </c>
      <c r="H81" s="61">
        <f>2397.8/F81</f>
        <v>799.26666666666677</v>
      </c>
      <c r="I81" s="62">
        <f>F81*H81</f>
        <v>2397.8000000000002</v>
      </c>
      <c r="J81" s="13" t="s">
        <v>175</v>
      </c>
      <c r="L81" s="2"/>
    </row>
    <row r="82" spans="1:12" ht="31.5" x14ac:dyDescent="0.25">
      <c r="A82" s="9"/>
      <c r="B82" s="8"/>
      <c r="C82" s="4"/>
      <c r="D82" s="15" t="s">
        <v>122</v>
      </c>
      <c r="E82" s="41"/>
      <c r="F82" s="41">
        <v>3</v>
      </c>
      <c r="G82" s="13" t="s">
        <v>30</v>
      </c>
      <c r="H82" s="45">
        <f>6508.6/F82</f>
        <v>2169.5333333333333</v>
      </c>
      <c r="I82" s="57">
        <f>F82*H82</f>
        <v>6508.6</v>
      </c>
      <c r="J82" s="13" t="s">
        <v>175</v>
      </c>
      <c r="L82" s="2"/>
    </row>
    <row r="83" spans="1:12" ht="18.75" x14ac:dyDescent="0.25">
      <c r="A83" s="9"/>
      <c r="B83" s="8"/>
      <c r="C83" s="4"/>
      <c r="D83" s="4" t="s">
        <v>116</v>
      </c>
      <c r="E83" s="41"/>
      <c r="F83" s="41">
        <f>12+24+12+12+12+12+12+6</f>
        <v>102</v>
      </c>
      <c r="G83" s="13" t="s">
        <v>30</v>
      </c>
      <c r="H83" s="45">
        <f>(4010.2+8026.6+4074+4247+4247+4247+4295.2+2146.6)/F83</f>
        <v>346.01568627450979</v>
      </c>
      <c r="I83" s="45">
        <f>F83*H83</f>
        <v>35293.599999999999</v>
      </c>
      <c r="J83" s="13" t="s">
        <v>118</v>
      </c>
      <c r="L83" s="2"/>
    </row>
    <row r="84" spans="1:12" ht="18.75" x14ac:dyDescent="0.25">
      <c r="A84" s="9" t="s">
        <v>22</v>
      </c>
      <c r="B84" s="8"/>
      <c r="C84" s="4"/>
      <c r="D84" s="4" t="s">
        <v>77</v>
      </c>
      <c r="E84" s="41" t="s">
        <v>138</v>
      </c>
      <c r="F84" s="41" t="s">
        <v>138</v>
      </c>
      <c r="G84" s="13" t="s">
        <v>30</v>
      </c>
      <c r="H84" s="41" t="s">
        <v>138</v>
      </c>
      <c r="I84" s="41" t="s">
        <v>138</v>
      </c>
      <c r="J84" s="13"/>
      <c r="L84" s="2"/>
    </row>
    <row r="85" spans="1:12" ht="18.75" x14ac:dyDescent="0.25">
      <c r="A85" s="47"/>
      <c r="B85" s="48"/>
      <c r="C85" s="22"/>
      <c r="D85" s="22"/>
      <c r="E85" s="46"/>
      <c r="F85" s="46"/>
      <c r="G85" s="31"/>
      <c r="H85" s="41"/>
      <c r="I85" s="45">
        <f>SUM(I80:I84)</f>
        <v>53903.73333333333</v>
      </c>
      <c r="J85" s="13"/>
      <c r="L85" s="2"/>
    </row>
    <row r="86" spans="1:12" ht="18.75" x14ac:dyDescent="0.3">
      <c r="A86" s="69" t="s">
        <v>79</v>
      </c>
      <c r="B86" s="70"/>
      <c r="C86" s="70"/>
      <c r="D86" s="70"/>
      <c r="E86" s="70"/>
      <c r="F86" s="70"/>
      <c r="G86" s="71"/>
      <c r="H86" s="5"/>
      <c r="I86" s="5"/>
      <c r="J86" s="13"/>
      <c r="L86" s="2"/>
    </row>
    <row r="87" spans="1:12" ht="38.25" customHeight="1" x14ac:dyDescent="0.25">
      <c r="A87" s="9" t="s">
        <v>23</v>
      </c>
      <c r="B87" s="5"/>
      <c r="C87" s="4"/>
      <c r="D87" s="15" t="s">
        <v>139</v>
      </c>
      <c r="E87" s="41"/>
      <c r="F87" s="41"/>
      <c r="G87" s="13" t="s">
        <v>31</v>
      </c>
      <c r="H87" s="41"/>
      <c r="I87" s="41"/>
      <c r="J87" s="13"/>
      <c r="L87" s="2"/>
    </row>
    <row r="88" spans="1:12" ht="18.75" x14ac:dyDescent="0.25">
      <c r="A88" s="9" t="s">
        <v>24</v>
      </c>
      <c r="B88" s="5"/>
      <c r="C88" s="4"/>
      <c r="D88" s="4" t="s">
        <v>78</v>
      </c>
      <c r="E88" s="41" t="s">
        <v>138</v>
      </c>
      <c r="F88" s="41" t="s">
        <v>138</v>
      </c>
      <c r="G88" s="13" t="s">
        <v>55</v>
      </c>
      <c r="H88" s="41" t="s">
        <v>138</v>
      </c>
      <c r="I88" s="41" t="s">
        <v>138</v>
      </c>
      <c r="J88" s="13"/>
      <c r="L88" s="2"/>
    </row>
    <row r="89" spans="1:12" ht="31.5" x14ac:dyDescent="0.25">
      <c r="A89" s="9" t="s">
        <v>127</v>
      </c>
      <c r="B89" s="5"/>
      <c r="C89" s="4"/>
      <c r="D89" s="15" t="s">
        <v>147</v>
      </c>
      <c r="E89" s="41" t="s">
        <v>138</v>
      </c>
      <c r="F89" s="41" t="s">
        <v>138</v>
      </c>
      <c r="G89" s="13" t="s">
        <v>55</v>
      </c>
      <c r="H89" s="41" t="s">
        <v>138</v>
      </c>
      <c r="I89" s="41" t="s">
        <v>138</v>
      </c>
      <c r="J89" s="13"/>
      <c r="L89" s="2"/>
    </row>
    <row r="90" spans="1:12" ht="18.75" x14ac:dyDescent="0.25">
      <c r="A90" s="9"/>
      <c r="B90" s="5"/>
      <c r="C90" s="4"/>
      <c r="D90" s="15" t="s">
        <v>183</v>
      </c>
      <c r="E90" s="41" t="s">
        <v>138</v>
      </c>
      <c r="F90" s="41">
        <f>1</f>
        <v>1</v>
      </c>
      <c r="G90" s="13" t="s">
        <v>144</v>
      </c>
      <c r="H90" s="41">
        <f>382.4/F90</f>
        <v>382.4</v>
      </c>
      <c r="I90" s="57">
        <f t="shared" ref="I90" si="1">F90*H90</f>
        <v>382.4</v>
      </c>
      <c r="J90" s="13" t="s">
        <v>123</v>
      </c>
      <c r="L90" s="2"/>
    </row>
    <row r="91" spans="1:12" ht="18.75" x14ac:dyDescent="0.25">
      <c r="A91" s="9"/>
      <c r="B91" s="5"/>
      <c r="C91" s="4"/>
      <c r="D91" s="15" t="s">
        <v>156</v>
      </c>
      <c r="E91" s="41"/>
      <c r="F91" s="41">
        <f>3</f>
        <v>3</v>
      </c>
      <c r="G91" s="13" t="s">
        <v>55</v>
      </c>
      <c r="H91" s="41">
        <f>234.6/F91</f>
        <v>78.2</v>
      </c>
      <c r="I91" s="41">
        <f>F91*H91</f>
        <v>234.60000000000002</v>
      </c>
      <c r="J91" s="13" t="s">
        <v>118</v>
      </c>
      <c r="L91" s="2"/>
    </row>
    <row r="92" spans="1:12" ht="18.75" x14ac:dyDescent="0.25">
      <c r="A92" s="9"/>
      <c r="B92" s="5"/>
      <c r="C92" s="4"/>
      <c r="D92" s="15" t="s">
        <v>108</v>
      </c>
      <c r="E92" s="32"/>
      <c r="F92" s="13">
        <f>3+2+3+3+20+8</f>
        <v>39</v>
      </c>
      <c r="G92" s="13" t="s">
        <v>55</v>
      </c>
      <c r="H92" s="33">
        <f>(525+338+507.8+507.8+3433.8+1379.2)/F92</f>
        <v>171.57948717948716</v>
      </c>
      <c r="I92" s="13">
        <f t="shared" ref="I92" si="2">F92*H92</f>
        <v>6691.5999999999995</v>
      </c>
      <c r="J92" s="13" t="s">
        <v>118</v>
      </c>
      <c r="L92" s="2"/>
    </row>
    <row r="93" spans="1:12" ht="56.25" x14ac:dyDescent="0.25">
      <c r="A93" s="9" t="s">
        <v>109</v>
      </c>
      <c r="B93" s="5"/>
      <c r="C93" s="4"/>
      <c r="D93" s="15" t="s">
        <v>125</v>
      </c>
      <c r="E93" s="32"/>
      <c r="F93" s="13">
        <f>20+20+20+20+20+20+20+20+20+20+20+20</f>
        <v>240</v>
      </c>
      <c r="G93" s="13" t="s">
        <v>110</v>
      </c>
      <c r="H93" s="33">
        <f>(1971.6+1971.6+1971.6+1985+1985+1985+2062.4+2062.4+2062.4+2089+2089+2089)/F93</f>
        <v>101.35</v>
      </c>
      <c r="I93" s="13">
        <f>F93*H93</f>
        <v>24324</v>
      </c>
      <c r="J93" s="13" t="s">
        <v>118</v>
      </c>
      <c r="L93" s="2"/>
    </row>
    <row r="94" spans="1:12" ht="18.75" x14ac:dyDescent="0.25">
      <c r="A94" s="47"/>
      <c r="B94" s="22"/>
      <c r="C94" s="22"/>
      <c r="D94" s="30"/>
      <c r="E94" s="49"/>
      <c r="F94" s="50"/>
      <c r="G94" s="31"/>
      <c r="H94" s="31"/>
      <c r="I94" s="33">
        <f>SUM(I87:I93)</f>
        <v>31632.6</v>
      </c>
      <c r="J94" s="13"/>
      <c r="L94" s="2"/>
    </row>
    <row r="95" spans="1:12" ht="18.75" x14ac:dyDescent="0.25">
      <c r="A95" s="76" t="s">
        <v>92</v>
      </c>
      <c r="B95" s="77"/>
      <c r="C95" s="77"/>
      <c r="D95" s="77"/>
      <c r="E95" s="77"/>
      <c r="F95" s="77"/>
      <c r="G95" s="78"/>
      <c r="H95" s="12"/>
      <c r="I95" s="5"/>
      <c r="J95" s="13"/>
      <c r="L95" s="2"/>
    </row>
    <row r="96" spans="1:12" ht="18.75" x14ac:dyDescent="0.25">
      <c r="A96" s="26"/>
      <c r="B96" s="27"/>
      <c r="C96" s="27"/>
      <c r="D96" s="36" t="s">
        <v>119</v>
      </c>
      <c r="E96" s="41"/>
      <c r="F96" s="41"/>
      <c r="G96" s="38" t="s">
        <v>31</v>
      </c>
      <c r="H96" s="41"/>
      <c r="I96" s="41"/>
      <c r="J96" s="13"/>
      <c r="L96" s="2"/>
    </row>
    <row r="97" spans="1:12" ht="63" x14ac:dyDescent="0.25">
      <c r="A97" s="9" t="s">
        <v>90</v>
      </c>
      <c r="B97" s="22"/>
      <c r="C97" s="22"/>
      <c r="D97" s="23" t="s">
        <v>121</v>
      </c>
      <c r="E97" s="37">
        <v>450</v>
      </c>
      <c r="F97" s="13">
        <v>450</v>
      </c>
      <c r="G97" s="31" t="s">
        <v>91</v>
      </c>
      <c r="H97" s="31">
        <v>4.8</v>
      </c>
      <c r="I97" s="13">
        <f>F97*H97*12</f>
        <v>25920</v>
      </c>
      <c r="J97" s="13" t="s">
        <v>118</v>
      </c>
      <c r="L97" s="2"/>
    </row>
    <row r="98" spans="1:12" ht="18.75" x14ac:dyDescent="0.25">
      <c r="A98" s="9"/>
      <c r="B98" s="5"/>
      <c r="C98" s="5"/>
      <c r="D98" s="40" t="s">
        <v>163</v>
      </c>
      <c r="E98" s="38"/>
      <c r="F98" s="13"/>
      <c r="G98" s="13" t="s">
        <v>115</v>
      </c>
      <c r="H98" s="31"/>
      <c r="I98" s="59"/>
      <c r="J98" s="13"/>
      <c r="L98" s="2"/>
    </row>
    <row r="99" spans="1:12" ht="18.75" x14ac:dyDescent="0.25">
      <c r="A99" s="47"/>
      <c r="B99" s="22"/>
      <c r="C99" s="22"/>
      <c r="D99" s="30"/>
      <c r="E99" s="49"/>
      <c r="F99" s="50"/>
      <c r="G99" s="31"/>
      <c r="H99" s="31"/>
      <c r="I99" s="13">
        <f>SUM(I96:I98)</f>
        <v>25920</v>
      </c>
      <c r="J99" s="13"/>
      <c r="L99" s="2"/>
    </row>
    <row r="100" spans="1:12" ht="18.75" x14ac:dyDescent="0.3">
      <c r="A100" s="69" t="s">
        <v>80</v>
      </c>
      <c r="B100" s="70"/>
      <c r="C100" s="70"/>
      <c r="D100" s="70"/>
      <c r="E100" s="70"/>
      <c r="F100" s="70"/>
      <c r="G100" s="71"/>
      <c r="H100" s="19"/>
      <c r="I100" s="5"/>
      <c r="J100" s="13"/>
      <c r="L100" s="2"/>
    </row>
    <row r="101" spans="1:12" ht="46.5" customHeight="1" x14ac:dyDescent="0.3">
      <c r="A101" s="34" t="s">
        <v>131</v>
      </c>
      <c r="B101" s="24"/>
      <c r="C101" s="24"/>
      <c r="D101" s="35" t="s">
        <v>130</v>
      </c>
      <c r="E101" s="13">
        <v>140</v>
      </c>
      <c r="F101" s="13">
        <v>140</v>
      </c>
      <c r="G101" s="13" t="s">
        <v>137</v>
      </c>
      <c r="H101" s="13">
        <v>13</v>
      </c>
      <c r="I101" s="13">
        <f>F101*H101*3</f>
        <v>5460</v>
      </c>
      <c r="J101" s="13" t="s">
        <v>146</v>
      </c>
      <c r="L101" s="2"/>
    </row>
    <row r="102" spans="1:12" ht="18.75" x14ac:dyDescent="0.25">
      <c r="A102" s="9" t="s">
        <v>25</v>
      </c>
      <c r="B102" s="5"/>
      <c r="C102" s="4"/>
      <c r="D102" s="4" t="s">
        <v>76</v>
      </c>
      <c r="E102" s="41" t="s">
        <v>138</v>
      </c>
      <c r="F102" s="41" t="s">
        <v>138</v>
      </c>
      <c r="G102" s="14" t="s">
        <v>55</v>
      </c>
      <c r="H102" s="41" t="s">
        <v>138</v>
      </c>
      <c r="I102" s="41" t="s">
        <v>138</v>
      </c>
      <c r="J102" s="13"/>
      <c r="L102" s="2"/>
    </row>
    <row r="103" spans="1:12" ht="47.25" x14ac:dyDescent="0.25">
      <c r="A103" s="9" t="s">
        <v>26</v>
      </c>
      <c r="B103" s="5"/>
      <c r="C103" s="4"/>
      <c r="D103" s="15" t="s">
        <v>28</v>
      </c>
      <c r="E103" s="41" t="s">
        <v>138</v>
      </c>
      <c r="F103" s="41" t="s">
        <v>138</v>
      </c>
      <c r="G103" s="14" t="s">
        <v>55</v>
      </c>
      <c r="H103" s="41" t="s">
        <v>138</v>
      </c>
      <c r="I103" s="41" t="s">
        <v>138</v>
      </c>
      <c r="J103" s="13"/>
      <c r="L103" s="2"/>
    </row>
    <row r="104" spans="1:12" ht="31.5" x14ac:dyDescent="0.25">
      <c r="A104" s="9" t="s">
        <v>27</v>
      </c>
      <c r="B104" s="5"/>
      <c r="C104" s="4"/>
      <c r="D104" s="15" t="s">
        <v>75</v>
      </c>
      <c r="E104" s="41" t="s">
        <v>138</v>
      </c>
      <c r="F104" s="41" t="s">
        <v>138</v>
      </c>
      <c r="G104" s="14" t="s">
        <v>55</v>
      </c>
      <c r="H104" s="41" t="s">
        <v>138</v>
      </c>
      <c r="I104" s="41" t="s">
        <v>138</v>
      </c>
      <c r="J104" s="13"/>
      <c r="L104" s="2"/>
    </row>
    <row r="105" spans="1:12" ht="18.75" x14ac:dyDescent="0.25">
      <c r="A105" s="47"/>
      <c r="B105" s="22"/>
      <c r="C105" s="22"/>
      <c r="D105" s="30"/>
      <c r="E105" s="46"/>
      <c r="F105" s="46"/>
      <c r="G105" s="12"/>
      <c r="H105" s="54"/>
      <c r="I105" s="54">
        <f>SUM(I101:I104)</f>
        <v>5460</v>
      </c>
      <c r="J105" s="13"/>
      <c r="L105" s="2"/>
    </row>
    <row r="106" spans="1:12" ht="18.75" x14ac:dyDescent="0.3">
      <c r="A106" s="69" t="s">
        <v>85</v>
      </c>
      <c r="B106" s="70"/>
      <c r="C106" s="70"/>
      <c r="D106" s="70"/>
      <c r="E106" s="70"/>
      <c r="F106" s="70"/>
      <c r="G106" s="71"/>
      <c r="H106" s="25"/>
      <c r="I106" s="25"/>
      <c r="J106" s="25"/>
      <c r="K106" s="2"/>
      <c r="L106" s="2"/>
    </row>
    <row r="107" spans="1:12" ht="48" x14ac:dyDescent="0.3">
      <c r="A107" s="6" t="s">
        <v>67</v>
      </c>
      <c r="B107" s="6"/>
      <c r="C107" s="4"/>
      <c r="D107" s="15" t="s">
        <v>86</v>
      </c>
      <c r="E107" s="41" t="s">
        <v>138</v>
      </c>
      <c r="F107" s="41" t="s">
        <v>138</v>
      </c>
      <c r="G107" s="13" t="s">
        <v>30</v>
      </c>
      <c r="H107" s="41" t="s">
        <v>138</v>
      </c>
      <c r="I107" s="41" t="s">
        <v>138</v>
      </c>
      <c r="J107" s="5"/>
      <c r="L107" s="2"/>
    </row>
    <row r="108" spans="1:12" ht="32.25" x14ac:dyDescent="0.3">
      <c r="A108" s="28"/>
      <c r="B108" s="29"/>
      <c r="C108" s="22"/>
      <c r="D108" s="30" t="s">
        <v>111</v>
      </c>
      <c r="E108" s="41">
        <v>1</v>
      </c>
      <c r="F108" s="41">
        <v>1</v>
      </c>
      <c r="G108" s="13" t="s">
        <v>112</v>
      </c>
      <c r="H108" s="41">
        <v>17400</v>
      </c>
      <c r="I108" s="44">
        <f>F108*H108</f>
        <v>17400</v>
      </c>
      <c r="J108" s="39" t="s">
        <v>120</v>
      </c>
      <c r="L108" s="2"/>
    </row>
    <row r="109" spans="1:12" ht="18.75" x14ac:dyDescent="0.3">
      <c r="A109" s="28"/>
      <c r="B109" s="29"/>
      <c r="C109" s="22"/>
      <c r="D109" s="30"/>
      <c r="E109" s="46"/>
      <c r="F109" s="46"/>
      <c r="G109" s="31"/>
      <c r="H109" s="46"/>
      <c r="I109" s="51">
        <f>SUM(I108)</f>
        <v>17400</v>
      </c>
      <c r="J109" s="52"/>
      <c r="L109" s="2"/>
    </row>
    <row r="110" spans="1:12" ht="18.75" x14ac:dyDescent="0.3">
      <c r="A110" s="69" t="s">
        <v>100</v>
      </c>
      <c r="B110" s="70"/>
      <c r="C110" s="70"/>
      <c r="D110" s="70"/>
      <c r="E110" s="70"/>
      <c r="F110" s="70"/>
      <c r="G110" s="71"/>
      <c r="H110" s="69"/>
      <c r="I110" s="70"/>
      <c r="J110" s="70"/>
      <c r="L110" s="2"/>
    </row>
    <row r="111" spans="1:12" ht="32.25" x14ac:dyDescent="0.3">
      <c r="A111" s="34" t="s">
        <v>145</v>
      </c>
      <c r="B111" s="24"/>
      <c r="C111" s="24"/>
      <c r="D111" s="40" t="s">
        <v>132</v>
      </c>
      <c r="E111" s="13"/>
      <c r="F111" s="13"/>
      <c r="G111" s="13" t="s">
        <v>133</v>
      </c>
      <c r="H111" s="13"/>
      <c r="I111" s="60"/>
      <c r="J111" s="13"/>
      <c r="L111" s="2"/>
    </row>
    <row r="112" spans="1:12" ht="48" x14ac:dyDescent="0.3">
      <c r="A112" s="24"/>
      <c r="B112" s="24"/>
      <c r="C112" s="24"/>
      <c r="D112" s="40" t="s">
        <v>134</v>
      </c>
      <c r="E112" s="41"/>
      <c r="F112" s="41"/>
      <c r="G112" s="13" t="s">
        <v>135</v>
      </c>
      <c r="H112" s="41"/>
      <c r="I112" s="56"/>
      <c r="J112" s="13"/>
      <c r="L112" s="2"/>
    </row>
    <row r="113" spans="1:12" ht="32.25" x14ac:dyDescent="0.3">
      <c r="A113" s="24"/>
      <c r="B113" s="24"/>
      <c r="C113" s="24"/>
      <c r="D113" s="40" t="s">
        <v>167</v>
      </c>
      <c r="E113" s="13"/>
      <c r="F113" s="13">
        <f>60</f>
        <v>60</v>
      </c>
      <c r="G113" s="13" t="s">
        <v>136</v>
      </c>
      <c r="H113" s="33">
        <f>2750/F113</f>
        <v>45.833333333333336</v>
      </c>
      <c r="I113" s="60">
        <f t="shared" ref="I113:I114" si="3">F113*H113</f>
        <v>2750</v>
      </c>
      <c r="J113" s="13" t="s">
        <v>124</v>
      </c>
      <c r="L113" s="2"/>
    </row>
    <row r="114" spans="1:12" ht="32.25" x14ac:dyDescent="0.3">
      <c r="A114" s="24"/>
      <c r="B114" s="24"/>
      <c r="C114" s="24"/>
      <c r="D114" s="40" t="s">
        <v>168</v>
      </c>
      <c r="E114" s="13"/>
      <c r="F114" s="13">
        <v>120</v>
      </c>
      <c r="G114" s="13" t="s">
        <v>136</v>
      </c>
      <c r="H114" s="33">
        <f>5500/F114</f>
        <v>45.833333333333336</v>
      </c>
      <c r="I114" s="60">
        <f t="shared" si="3"/>
        <v>5500</v>
      </c>
      <c r="J114" s="13" t="s">
        <v>124</v>
      </c>
      <c r="L114" s="2"/>
    </row>
    <row r="115" spans="1:12" ht="18.75" x14ac:dyDescent="0.3">
      <c r="A115" s="24"/>
      <c r="B115" s="24"/>
      <c r="C115" s="24"/>
      <c r="D115" s="40" t="s">
        <v>179</v>
      </c>
      <c r="E115" s="13"/>
      <c r="F115" s="13">
        <v>1</v>
      </c>
      <c r="G115" s="13" t="s">
        <v>141</v>
      </c>
      <c r="H115" s="13">
        <f>12000/F115</f>
        <v>12000</v>
      </c>
      <c r="I115" s="59">
        <f t="shared" ref="I115" si="4">F115*H115</f>
        <v>12000</v>
      </c>
      <c r="J115" s="13" t="s">
        <v>123</v>
      </c>
      <c r="L115" s="2"/>
    </row>
    <row r="116" spans="1:12" ht="32.25" x14ac:dyDescent="0.3">
      <c r="A116" s="24"/>
      <c r="B116" s="24"/>
      <c r="C116" s="24"/>
      <c r="D116" s="40" t="s">
        <v>180</v>
      </c>
      <c r="E116" s="13"/>
      <c r="F116" s="13">
        <v>1</v>
      </c>
      <c r="G116" s="13" t="s">
        <v>141</v>
      </c>
      <c r="H116" s="13">
        <v>15000</v>
      </c>
      <c r="I116" s="59">
        <f>F116*H116</f>
        <v>15000</v>
      </c>
      <c r="J116" s="13" t="s">
        <v>123</v>
      </c>
      <c r="L116" s="2"/>
    </row>
    <row r="117" spans="1:12" ht="18.75" x14ac:dyDescent="0.3">
      <c r="A117" s="34"/>
      <c r="B117" s="14"/>
      <c r="C117" s="14"/>
      <c r="D117" s="40"/>
      <c r="E117" s="41"/>
      <c r="F117" s="41"/>
      <c r="G117" s="13"/>
      <c r="H117" s="41"/>
      <c r="I117" s="56">
        <f>SUM(I111:I116)</f>
        <v>35250</v>
      </c>
      <c r="J117" s="14"/>
      <c r="L117" s="2"/>
    </row>
    <row r="118" spans="1:12" ht="15.75" x14ac:dyDescent="0.25">
      <c r="A118" s="53" t="s">
        <v>172</v>
      </c>
      <c r="B118" s="25"/>
      <c r="C118" s="25"/>
      <c r="D118" s="43"/>
      <c r="E118" s="13"/>
      <c r="F118" s="13"/>
      <c r="G118" s="38"/>
      <c r="H118" s="13"/>
      <c r="I118" s="55">
        <f>I5+I6+I7+I8+I10+I26+I31+I41+I49+I56+I57+I58+I59+I60+I66+I67+I68+I76+I81+I82+I90+I98+I111+I112+I113+I114+I115+I116</f>
        <v>318875.40000000002</v>
      </c>
      <c r="J118" s="14"/>
      <c r="K118" s="2"/>
      <c r="L118" s="2"/>
    </row>
    <row r="119" spans="1:12" ht="15.75" x14ac:dyDescent="0.25">
      <c r="A119" s="53" t="s">
        <v>166</v>
      </c>
      <c r="B119" s="25"/>
      <c r="C119" s="25"/>
      <c r="D119" s="43"/>
      <c r="E119" s="13"/>
      <c r="F119" s="13"/>
      <c r="G119" s="38"/>
      <c r="H119" s="13"/>
      <c r="I119" s="55">
        <f>I38+I50+I63+I73+I78+I85+I94+I99+I105+I109+I117</f>
        <v>543247.39999999991</v>
      </c>
      <c r="J119" s="14"/>
      <c r="K119" s="2"/>
      <c r="L119" s="2"/>
    </row>
    <row r="120" spans="1:12" ht="99.75" customHeight="1" x14ac:dyDescent="0.25">
      <c r="A120" s="66" t="s">
        <v>107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2"/>
      <c r="L120" s="2"/>
    </row>
    <row r="121" spans="1:12" ht="15.75" x14ac:dyDescent="0.25">
      <c r="A121" s="2"/>
      <c r="B121" s="2"/>
      <c r="C121" s="2"/>
      <c r="D121" s="16"/>
      <c r="E121" s="16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16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16"/>
      <c r="F123" s="2"/>
      <c r="G123" s="2"/>
      <c r="H123" s="64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65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</sheetData>
  <mergeCells count="16">
    <mergeCell ref="A120:J120"/>
    <mergeCell ref="A2:J2"/>
    <mergeCell ref="A110:G110"/>
    <mergeCell ref="H110:J110"/>
    <mergeCell ref="I1:J1"/>
    <mergeCell ref="A73:G73"/>
    <mergeCell ref="A86:G86"/>
    <mergeCell ref="A106:G106"/>
    <mergeCell ref="A39:G39"/>
    <mergeCell ref="A20:G20"/>
    <mergeCell ref="A4:G4"/>
    <mergeCell ref="A95:G95"/>
    <mergeCell ref="A51:G51"/>
    <mergeCell ref="A64:G64"/>
    <mergeCell ref="A79:G79"/>
    <mergeCell ref="A100:G100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2025-01-29T08:21:46Z</cp:lastPrinted>
  <dcterms:created xsi:type="dcterms:W3CDTF">2017-05-29T12:14:13Z</dcterms:created>
  <dcterms:modified xsi:type="dcterms:W3CDTF">2025-03-14T04:41:15Z</dcterms:modified>
</cp:coreProperties>
</file>