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27" i="1" l="1"/>
  <c r="F83" i="1"/>
  <c r="H83" i="1" s="1"/>
  <c r="I83" i="1" l="1"/>
  <c r="F43" i="1"/>
  <c r="H43" i="1" s="1"/>
  <c r="F42" i="1"/>
  <c r="H42" i="1" s="1"/>
  <c r="F101" i="1"/>
  <c r="H101" i="1" s="1"/>
  <c r="H60" i="1"/>
  <c r="I43" i="1" l="1"/>
  <c r="F49" i="1"/>
  <c r="H49" i="1" s="1"/>
  <c r="F47" i="1"/>
  <c r="H47" i="1" s="1"/>
  <c r="F51" i="1"/>
  <c r="H51" i="1" s="1"/>
  <c r="H48" i="1"/>
  <c r="H46" i="1"/>
  <c r="F45" i="1"/>
  <c r="H45" i="1" s="1"/>
  <c r="F104" i="1"/>
  <c r="H104" i="1" s="1"/>
  <c r="F40" i="1"/>
  <c r="H40" i="1" s="1"/>
  <c r="I51" i="1" l="1"/>
  <c r="F100" i="1"/>
  <c r="H100" i="1" s="1"/>
  <c r="F88" i="1"/>
  <c r="H88" i="1" s="1"/>
  <c r="F59" i="1"/>
  <c r="H59" i="1" s="1"/>
  <c r="I59" i="1" l="1"/>
  <c r="I104" i="1"/>
  <c r="H110" i="1"/>
  <c r="F39" i="1" l="1"/>
  <c r="H39" i="1" s="1"/>
  <c r="F70" i="1"/>
  <c r="H70" i="1" s="1"/>
  <c r="F66" i="1"/>
  <c r="F65" i="1"/>
  <c r="H65" i="1" s="1"/>
  <c r="F62" i="1"/>
  <c r="H62" i="1" s="1"/>
  <c r="F68" i="1"/>
  <c r="H68" i="1" s="1"/>
  <c r="I68" i="1" l="1"/>
  <c r="I70" i="1"/>
  <c r="H66" i="1"/>
  <c r="I66" i="1" s="1"/>
  <c r="I65" i="1"/>
  <c r="F20" i="1"/>
  <c r="F23" i="1"/>
  <c r="H23" i="1" s="1"/>
  <c r="I23" i="1" s="1"/>
  <c r="F21" i="1"/>
  <c r="H21" i="1" s="1"/>
  <c r="F22" i="1"/>
  <c r="H22" i="1" s="1"/>
  <c r="H20" i="1" l="1"/>
  <c r="I20" i="1" s="1"/>
  <c r="F29" i="1"/>
  <c r="H29" i="1" s="1"/>
  <c r="F123" i="1"/>
  <c r="H123" i="1" s="1"/>
  <c r="F6" i="1"/>
  <c r="H64" i="1"/>
  <c r="F63" i="1"/>
  <c r="H63" i="1" s="1"/>
  <c r="F99" i="1"/>
  <c r="H99" i="1" s="1"/>
  <c r="F97" i="1"/>
  <c r="H97" i="1" s="1"/>
  <c r="F98" i="1"/>
  <c r="H98" i="1" s="1"/>
  <c r="F90" i="1"/>
  <c r="H90" i="1" s="1"/>
  <c r="H6" i="1" l="1"/>
  <c r="I6" i="1" s="1"/>
  <c r="I124" i="1"/>
  <c r="I98" i="1"/>
  <c r="I40" i="1" l="1"/>
  <c r="I86" i="1"/>
  <c r="I46" i="1" l="1"/>
  <c r="I39" i="1"/>
  <c r="I63" i="1" l="1"/>
  <c r="I90" i="1"/>
  <c r="I48" i="1"/>
  <c r="I62" i="1"/>
  <c r="I64" i="1"/>
  <c r="I47" i="1"/>
  <c r="I49" i="1"/>
  <c r="I29" i="1"/>
  <c r="I22" i="1" l="1"/>
  <c r="F125" i="1"/>
  <c r="I125" i="1" s="1"/>
  <c r="F71" i="1"/>
  <c r="H71" i="1" s="1"/>
  <c r="F61" i="1"/>
  <c r="H61" i="1" s="1"/>
  <c r="I21" i="1" l="1"/>
  <c r="I42" i="1"/>
  <c r="I45" i="1" l="1"/>
  <c r="I110" i="1"/>
  <c r="I123" i="1" l="1"/>
  <c r="I57" i="1" l="1"/>
  <c r="I16" i="1"/>
  <c r="I88" i="1"/>
  <c r="I93" i="1" s="1"/>
  <c r="I99" i="1"/>
  <c r="I36" i="1" l="1"/>
  <c r="I71" i="1"/>
  <c r="I97" i="1"/>
  <c r="I109" i="1"/>
  <c r="I108" i="1"/>
  <c r="I114" i="1" l="1"/>
  <c r="I101" i="1" l="1"/>
  <c r="I117" i="1"/>
  <c r="I118" i="1" s="1"/>
  <c r="I60" i="1" l="1"/>
  <c r="I61" i="1" l="1"/>
  <c r="I74" i="1" s="1"/>
  <c r="I100" i="1"/>
  <c r="I102" i="1" s="1"/>
  <c r="I105" i="1" l="1"/>
  <c r="I106" i="1" s="1"/>
  <c r="I126" i="1" l="1"/>
  <c r="I128" i="1" s="1"/>
</calcChain>
</file>

<file path=xl/sharedStrings.xml><?xml version="1.0" encoding="utf-8"?>
<sst xmlns="http://schemas.openxmlformats.org/spreadsheetml/2006/main" count="508" uniqueCount="195">
  <si>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</si>
  <si>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</si>
  <si>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</si>
  <si>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</si>
  <si>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</si>
  <si>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</si>
  <si>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</si>
  <si>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</si>
  <si>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</si>
  <si>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</si>
  <si>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</si>
  <si>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</si>
  <si>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</si>
  <si>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</si>
  <si>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</si>
  <si>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</si>
  <si>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</si>
  <si>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</si>
  <si>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</si>
  <si>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</si>
  <si>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</si>
  <si>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</si>
  <si>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</si>
  <si>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</si>
  <si>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</si>
  <si>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</si>
  <si>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</si>
  <si>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</si>
  <si>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</si>
  <si>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</si>
  <si>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</si>
  <si>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</si>
  <si>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</si>
  <si>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</si>
  <si>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</si>
  <si>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</si>
  <si>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</si>
  <si>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</si>
  <si>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</si>
  <si>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</si>
  <si>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</si>
  <si>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</si>
  <si>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</si>
  <si>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</si>
  <si>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</si>
  <si>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</si>
  <si>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</si>
  <si>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</si>
  <si>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</si>
  <si>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</si>
  <si>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</si>
  <si>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</si>
  <si>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</si>
  <si>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</si>
  <si>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</si>
  <si>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</si>
  <si>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</si>
  <si>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</si>
  <si>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</si>
  <si>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</si>
  <si>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</si>
  <si>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</si>
  <si>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</si>
  <si>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</si>
  <si>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</si>
  <si>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</si>
  <si>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</si>
  <si>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</si>
  <si>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</si>
  <si>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</si>
  <si>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</si>
  <si>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</si>
  <si>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</si>
  <si>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</si>
  <si>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</si>
  <si>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</si>
  <si>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</si>
  <si>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</si>
  <si>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</si>
  <si>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</si>
  <si>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</si>
  <si>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</si>
  <si>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</si>
  <si>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</si>
  <si>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</si>
  <si>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</si>
  <si>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</si>
  <si>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</si>
  <si>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</si>
  <si>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</si>
  <si>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</si>
  <si>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</si>
  <si>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</si>
  <si>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</si>
  <si>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</si>
  <si>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</si>
  <si>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</si>
  <si>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</si>
  <si>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</si>
  <si>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</si>
  <si>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</si>
  <si>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</si>
  <si>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</si>
  <si>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</si>
  <si>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</si>
  <si>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</si>
  <si>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</si>
  <si>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</si>
  <si>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</si>
  <si>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</si>
  <si>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</si>
  <si>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</si>
  <si>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</si>
  <si>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</si>
  <si>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</si>
  <si>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</si>
  <si>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</si>
  <si>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</si>
  <si>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</si>
  <si>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</si>
  <si>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</si>
  <si>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</si>
  <si>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</si>
  <si>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</si>
  <si>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</si>
  <si>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</si>
  <si>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</si>
  <si>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</si>
  <si>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</si>
  <si>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</si>
  <si>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</si>
  <si>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</si>
  <si>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</si>
  <si>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</si>
  <si>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</si>
  <si>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</si>
  <si>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</si>
  <si>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</si>
  <si>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</si>
  <si>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</si>
  <si>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</si>
  <si>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</si>
  <si>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</si>
  <si>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</si>
  <si>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</si>
  <si>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</si>
  <si>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установка насосов</t>
  </si>
  <si>
    <t>1 врезка</t>
  </si>
  <si>
    <t>ремонт/частичная замена поврежденных участков при помощи альпинистов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</si>
  <si>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</si>
  <si>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</si>
  <si>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</si>
  <si>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кабелей двух-четырехжильных</t>
  </si>
  <si>
    <t>врезка в действующие сети трубопроводов отопления и водоснабжения диам. 20мм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</si>
  <si>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</si>
  <si>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</si>
  <si>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</si>
  <si>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водоотлив из подвала ведрами</t>
  </si>
  <si>
    <t xml:space="preserve"> смена кранов на шаровые краны диам.25,32мм</t>
  </si>
  <si>
    <t>ремонт межпанельных швов без вскрытия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</si>
  <si>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</si>
  <si>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</si>
  <si>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</si>
  <si>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ремонт и окраска дверей (восстановление фурнитуры и остекления) проушины</t>
  </si>
  <si>
    <t>выполнение работ по ремонту и восстановлению водосточных труб</t>
  </si>
  <si>
    <t xml:space="preserve">восстановление и окраска элементов крылец;замена плиток </t>
  </si>
  <si>
    <t>ремонт и восстановление уплотнения стыков прокладками ПРП в 1 ряд насухо</t>
  </si>
  <si>
    <t>Всего:</t>
  </si>
  <si>
    <t>1 квартал</t>
  </si>
  <si>
    <t>механизированная уборка снега на придомовой территории JSB</t>
  </si>
  <si>
    <t>механизированная уборка снега на придомовой территории МТЗ</t>
  </si>
  <si>
    <t>ремонт штукатурки внутренних стен по камню и бетону</t>
  </si>
  <si>
    <t>справка о техническом состоянии здания</t>
  </si>
  <si>
    <t>огрунтовка ранее окрашенных фасадов</t>
  </si>
  <si>
    <t>простая масляная окраска ранее окрашенных фасадов без подготовки с расчисткой старой краски до 10%</t>
  </si>
  <si>
    <t>окраска водно-дисперсионными акриловыми составами улучшенная по штукатурке потолков</t>
  </si>
  <si>
    <t>покрытие поверхностей грунтовкой глубокого проникновения за 1 раз стен</t>
  </si>
  <si>
    <t>окраска водно-дисперсионными акриловыми составами улучшенная по штукатурке стен</t>
  </si>
  <si>
    <t>покрытие поверхностей грунтовкой глубокого проникновения за 1 раз потолков</t>
  </si>
  <si>
    <t>прокладка внутренних трубопроводов водоснабжения и отопления из полипропиленовых труб:диам. 25мм</t>
  </si>
  <si>
    <t>короба пластмассовые шириной до 40мм</t>
  </si>
  <si>
    <t>сверление отверстий с установкой стендов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</si>
  <si>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</si>
  <si>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ул.Парковая, дом 3  на 2024 г.
</t>
  </si>
  <si>
    <t>ремонт штукатурки  фасадов сухой растворной смесью (типа "ветонит")</t>
  </si>
  <si>
    <t>шпатлевка ранее окрашенных фасадов под окраску с земли и лесов</t>
  </si>
  <si>
    <t>смена внутренних трубопроводов из стальных труб диаметром  до 50мм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</si>
  <si>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</si>
  <si>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трубопроводов водоснабжения и отопления из полипропиленовых труб:диам. 20мм</t>
  </si>
  <si>
    <t xml:space="preserve"> смена кранов на шаровые краны диам.20,32мм</t>
  </si>
  <si>
    <t>окраска масляными составами ранее окрашенных больших металлических поверхностей(кроме крыш) за один раз</t>
  </si>
  <si>
    <t>прокладка воздуховодов из листовой оцинкованной стали</t>
  </si>
  <si>
    <t>окраска огрунтованных бетонных поверхностей</t>
  </si>
  <si>
    <t>установка неостекленных переплетов створных</t>
  </si>
  <si>
    <t>окраска эмалевыми составами по дереву с подготовкой поверхности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</si>
</sst>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topLeftCell="D124" zoomScale="91" zoomScaleNormal="91" workbookViewId="0">
      <selection activeCell="F131" sqref="F131:I13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3" t="s">
        <v>97</v>
      </c>
      <c r="J1" s="73"/>
    </row>
    <row r="2" spans="1:12" ht="70.5" customHeight="1" x14ac:dyDescent="0.25">
      <c r="A2" s="68" t="s">
        <v>183</v>
      </c>
      <c r="B2" s="69"/>
      <c r="C2" s="69"/>
      <c r="D2" s="69"/>
      <c r="E2" s="69"/>
      <c r="F2" s="69"/>
      <c r="G2" s="69"/>
      <c r="H2" s="69"/>
      <c r="I2" s="69"/>
      <c r="J2" s="69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74" t="s">
        <v>88</v>
      </c>
      <c r="B4" s="75"/>
      <c r="C4" s="75"/>
      <c r="D4" s="75"/>
      <c r="E4" s="75"/>
      <c r="F4" s="75"/>
      <c r="G4" s="76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160</v>
      </c>
      <c r="E5" s="41" t="s">
        <v>140</v>
      </c>
      <c r="F5" s="41" t="s">
        <v>140</v>
      </c>
      <c r="G5" s="13" t="s">
        <v>113</v>
      </c>
      <c r="H5" s="41" t="s">
        <v>140</v>
      </c>
      <c r="I5" s="41" t="s">
        <v>140</v>
      </c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1"/>
      <c r="F6" s="41">
        <f>674.6</f>
        <v>674.6</v>
      </c>
      <c r="G6" s="13" t="s">
        <v>113</v>
      </c>
      <c r="H6" s="41">
        <f>26984/F6</f>
        <v>40</v>
      </c>
      <c r="I6" s="57">
        <f>F6*H6</f>
        <v>26984</v>
      </c>
      <c r="J6" s="13" t="s">
        <v>168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148</v>
      </c>
      <c r="E7" s="41" t="s">
        <v>140</v>
      </c>
      <c r="F7" s="41" t="s">
        <v>140</v>
      </c>
      <c r="G7" s="13" t="s">
        <v>30</v>
      </c>
      <c r="H7" s="41" t="s">
        <v>140</v>
      </c>
      <c r="I7" s="41" t="s">
        <v>140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140</v>
      </c>
      <c r="F8" s="41" t="s">
        <v>140</v>
      </c>
      <c r="G8" s="13" t="s">
        <v>30</v>
      </c>
      <c r="H8" s="41" t="s">
        <v>140</v>
      </c>
      <c r="I8" s="41" t="s">
        <v>140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140</v>
      </c>
      <c r="F9" s="41" t="s">
        <v>140</v>
      </c>
      <c r="G9" s="13" t="s">
        <v>30</v>
      </c>
      <c r="H9" s="41" t="s">
        <v>140</v>
      </c>
      <c r="I9" s="41" t="s">
        <v>140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140</v>
      </c>
      <c r="F10" s="41" t="s">
        <v>140</v>
      </c>
      <c r="G10" s="13" t="s">
        <v>30</v>
      </c>
      <c r="H10" s="41" t="s">
        <v>140</v>
      </c>
      <c r="I10" s="41" t="s">
        <v>140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1" t="s">
        <v>140</v>
      </c>
      <c r="F11" s="41" t="s">
        <v>140</v>
      </c>
      <c r="G11" s="13" t="s">
        <v>31</v>
      </c>
      <c r="H11" s="41" t="s">
        <v>140</v>
      </c>
      <c r="I11" s="41" t="s">
        <v>140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140</v>
      </c>
      <c r="F12" s="41" t="s">
        <v>140</v>
      </c>
      <c r="G12" s="14" t="s">
        <v>31</v>
      </c>
      <c r="H12" s="41" t="s">
        <v>140</v>
      </c>
      <c r="I12" s="41" t="s">
        <v>140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1" t="s">
        <v>140</v>
      </c>
      <c r="F13" s="41" t="s">
        <v>140</v>
      </c>
      <c r="G13" s="13" t="s">
        <v>30</v>
      </c>
      <c r="H13" s="41" t="s">
        <v>140</v>
      </c>
      <c r="I13" s="41" t="s">
        <v>140</v>
      </c>
      <c r="J13" s="13"/>
      <c r="L13" s="2"/>
    </row>
    <row r="14" spans="1:12" ht="32.25" x14ac:dyDescent="0.3">
      <c r="A14" s="6" t="s">
        <v>7</v>
      </c>
      <c r="B14" s="5"/>
      <c r="C14" s="4"/>
      <c r="D14" s="15" t="s">
        <v>34</v>
      </c>
      <c r="E14" s="41" t="s">
        <v>140</v>
      </c>
      <c r="F14" s="41" t="s">
        <v>140</v>
      </c>
      <c r="G14" s="13" t="s">
        <v>30</v>
      </c>
      <c r="H14" s="41" t="s">
        <v>140</v>
      </c>
      <c r="I14" s="41" t="s">
        <v>140</v>
      </c>
      <c r="J14" s="13"/>
      <c r="L14" s="2"/>
    </row>
    <row r="15" spans="1:12" ht="27" customHeight="1" x14ac:dyDescent="0.3">
      <c r="A15" s="6"/>
      <c r="B15" s="5"/>
      <c r="C15" s="4"/>
      <c r="D15" s="15" t="s">
        <v>164</v>
      </c>
      <c r="E15" s="41" t="s">
        <v>140</v>
      </c>
      <c r="F15" s="41" t="s">
        <v>140</v>
      </c>
      <c r="G15" s="13" t="s">
        <v>30</v>
      </c>
      <c r="H15" s="41" t="s">
        <v>140</v>
      </c>
      <c r="I15" s="41" t="s">
        <v>140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8"/>
      <c r="F16" s="48"/>
      <c r="G16" s="31"/>
      <c r="H16" s="41"/>
      <c r="I16" s="41">
        <f>SUM(I6:I15)</f>
        <v>26984</v>
      </c>
      <c r="J16" s="13"/>
      <c r="K16" s="2"/>
      <c r="L16" s="2"/>
    </row>
    <row r="17" spans="1:12" ht="18.75" x14ac:dyDescent="0.3">
      <c r="A17" s="74" t="s">
        <v>56</v>
      </c>
      <c r="B17" s="75"/>
      <c r="C17" s="75"/>
      <c r="D17" s="75"/>
      <c r="E17" s="75"/>
      <c r="F17" s="75"/>
      <c r="G17" s="76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96</v>
      </c>
      <c r="E18" s="41"/>
      <c r="F18" s="41"/>
      <c r="G18" s="14" t="s">
        <v>54</v>
      </c>
      <c r="H18" s="41"/>
      <c r="I18" s="41"/>
      <c r="J18" s="13"/>
      <c r="L18" s="2"/>
    </row>
    <row r="19" spans="1:12" ht="18.75" x14ac:dyDescent="0.3">
      <c r="A19" s="6" t="s">
        <v>13</v>
      </c>
      <c r="B19" s="5"/>
      <c r="C19" s="4"/>
      <c r="D19" s="4" t="s">
        <v>41</v>
      </c>
      <c r="E19" s="41"/>
      <c r="F19" s="41"/>
      <c r="G19" s="14" t="s">
        <v>53</v>
      </c>
      <c r="H19" s="41" t="s">
        <v>140</v>
      </c>
      <c r="I19" s="41" t="s">
        <v>140</v>
      </c>
      <c r="J19" s="13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1"/>
      <c r="F20" s="41">
        <f>175</f>
        <v>175</v>
      </c>
      <c r="G20" s="14" t="s">
        <v>53</v>
      </c>
      <c r="H20" s="45">
        <f>97963.8/F20</f>
        <v>559.79314285714293</v>
      </c>
      <c r="I20" s="57">
        <f>F20*H20</f>
        <v>97963.800000000017</v>
      </c>
      <c r="J20" s="13" t="s">
        <v>118</v>
      </c>
      <c r="K20" s="2"/>
      <c r="L20" s="2"/>
    </row>
    <row r="21" spans="1:12" ht="18.75" x14ac:dyDescent="0.3">
      <c r="A21" s="6"/>
      <c r="B21" s="5"/>
      <c r="C21" s="4"/>
      <c r="D21" s="4" t="s">
        <v>173</v>
      </c>
      <c r="E21" s="41"/>
      <c r="F21" s="41">
        <f>175</f>
        <v>175</v>
      </c>
      <c r="G21" s="14" t="s">
        <v>113</v>
      </c>
      <c r="H21" s="45">
        <f>15206.4/F21</f>
        <v>86.893714285714282</v>
      </c>
      <c r="I21" s="57">
        <f>F21*H21</f>
        <v>15206.4</v>
      </c>
      <c r="J21" s="13" t="s">
        <v>118</v>
      </c>
      <c r="K21" s="2"/>
      <c r="L21" s="2"/>
    </row>
    <row r="22" spans="1:12" ht="32.25" x14ac:dyDescent="0.3">
      <c r="A22" s="6"/>
      <c r="B22" s="5"/>
      <c r="C22" s="4"/>
      <c r="D22" s="15" t="s">
        <v>184</v>
      </c>
      <c r="E22" s="41"/>
      <c r="F22" s="41">
        <f>10</f>
        <v>10</v>
      </c>
      <c r="G22" s="14" t="s">
        <v>90</v>
      </c>
      <c r="H22" s="45">
        <f>9497.8/F22</f>
        <v>949.78</v>
      </c>
      <c r="I22" s="57">
        <f>F22*H22</f>
        <v>9497.7999999999993</v>
      </c>
      <c r="J22" s="13" t="s">
        <v>118</v>
      </c>
      <c r="K22" s="2"/>
      <c r="L22" s="2"/>
    </row>
    <row r="23" spans="1:12" ht="32.25" x14ac:dyDescent="0.3">
      <c r="A23" s="6"/>
      <c r="B23" s="5"/>
      <c r="C23" s="4"/>
      <c r="D23" s="15" t="s">
        <v>185</v>
      </c>
      <c r="E23" s="41"/>
      <c r="F23" s="41">
        <f>80</f>
        <v>80</v>
      </c>
      <c r="G23" s="14" t="s">
        <v>90</v>
      </c>
      <c r="H23" s="45">
        <f>25722.6/F23</f>
        <v>321.53249999999997</v>
      </c>
      <c r="I23" s="57">
        <f>F23*H23</f>
        <v>25722.6</v>
      </c>
      <c r="J23" s="13" t="s">
        <v>118</v>
      </c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1"/>
      <c r="F24" s="41"/>
      <c r="G24" s="14" t="s">
        <v>53</v>
      </c>
      <c r="H24" s="45"/>
      <c r="I24" s="57"/>
      <c r="J24" s="13"/>
      <c r="K24" s="2"/>
      <c r="L24" s="2"/>
    </row>
    <row r="25" spans="1:12" ht="18.75" x14ac:dyDescent="0.3">
      <c r="A25" s="6" t="s">
        <v>11</v>
      </c>
      <c r="B25" s="5"/>
      <c r="C25" s="4"/>
      <c r="D25" s="4" t="s">
        <v>40</v>
      </c>
      <c r="E25" s="41" t="s">
        <v>140</v>
      </c>
      <c r="F25" s="41" t="s">
        <v>140</v>
      </c>
      <c r="G25" s="14" t="s">
        <v>53</v>
      </c>
      <c r="H25" s="41"/>
      <c r="I25" s="41" t="s">
        <v>140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140</v>
      </c>
      <c r="F26" s="41" t="s">
        <v>140</v>
      </c>
      <c r="G26" s="13" t="s">
        <v>30</v>
      </c>
      <c r="H26" s="41" t="s">
        <v>140</v>
      </c>
      <c r="I26" s="41" t="s">
        <v>140</v>
      </c>
      <c r="J26" s="13"/>
      <c r="K26" s="2"/>
      <c r="L26" s="2"/>
    </row>
    <row r="27" spans="1:12" ht="39" customHeight="1" x14ac:dyDescent="0.3">
      <c r="A27" s="6" t="s">
        <v>12</v>
      </c>
      <c r="B27" s="5"/>
      <c r="C27" s="4"/>
      <c r="D27" s="15" t="s">
        <v>165</v>
      </c>
      <c r="E27" s="41" t="s">
        <v>140</v>
      </c>
      <c r="F27" s="41" t="s">
        <v>140</v>
      </c>
      <c r="G27" s="14" t="s">
        <v>53</v>
      </c>
      <c r="H27" s="41" t="s">
        <v>140</v>
      </c>
      <c r="I27" s="41" t="s">
        <v>140</v>
      </c>
      <c r="J27" s="13"/>
      <c r="K27" s="2"/>
      <c r="L27" s="2"/>
    </row>
    <row r="28" spans="1:12" ht="18.75" x14ac:dyDescent="0.3">
      <c r="A28" s="6" t="s">
        <v>55</v>
      </c>
      <c r="B28" s="5"/>
      <c r="C28" s="4"/>
      <c r="D28" s="15" t="s">
        <v>159</v>
      </c>
      <c r="E28" s="41" t="s">
        <v>140</v>
      </c>
      <c r="F28" s="41" t="s">
        <v>140</v>
      </c>
      <c r="G28" s="14" t="s">
        <v>30</v>
      </c>
      <c r="H28" s="41" t="s">
        <v>140</v>
      </c>
      <c r="I28" s="41" t="s">
        <v>140</v>
      </c>
      <c r="J28" s="13"/>
      <c r="L28" s="2"/>
    </row>
    <row r="29" spans="1:12" ht="48" x14ac:dyDescent="0.3">
      <c r="A29" s="6"/>
      <c r="B29" s="5"/>
      <c r="C29" s="4"/>
      <c r="D29" s="15" t="s">
        <v>174</v>
      </c>
      <c r="E29" s="41" t="s">
        <v>140</v>
      </c>
      <c r="F29" s="41">
        <f>6</f>
        <v>6</v>
      </c>
      <c r="G29" s="14" t="s">
        <v>113</v>
      </c>
      <c r="H29" s="45">
        <f>995.8/F29</f>
        <v>165.96666666666667</v>
      </c>
      <c r="I29" s="57">
        <f>F29*H29</f>
        <v>995.8</v>
      </c>
      <c r="J29" s="13" t="s">
        <v>118</v>
      </c>
      <c r="L29" s="2"/>
    </row>
    <row r="30" spans="1:12" ht="32.25" x14ac:dyDescent="0.3">
      <c r="A30" s="6" t="s">
        <v>57</v>
      </c>
      <c r="B30" s="5"/>
      <c r="C30" s="4"/>
      <c r="D30" s="15" t="s">
        <v>95</v>
      </c>
      <c r="E30" s="41" t="s">
        <v>140</v>
      </c>
      <c r="F30" s="41" t="s">
        <v>140</v>
      </c>
      <c r="G30" s="14" t="s">
        <v>53</v>
      </c>
      <c r="H30" s="41" t="s">
        <v>140</v>
      </c>
      <c r="I30" s="41" t="s">
        <v>140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94</v>
      </c>
      <c r="E31" s="41" t="s">
        <v>140</v>
      </c>
      <c r="F31" s="41" t="s">
        <v>140</v>
      </c>
      <c r="G31" s="14" t="s">
        <v>54</v>
      </c>
      <c r="H31" s="41" t="s">
        <v>140</v>
      </c>
      <c r="I31" s="41" t="s">
        <v>140</v>
      </c>
      <c r="J31" s="13"/>
      <c r="L31" s="2"/>
    </row>
    <row r="32" spans="1:12" ht="18.75" x14ac:dyDescent="0.3">
      <c r="A32" s="6" t="s">
        <v>15</v>
      </c>
      <c r="B32" s="5"/>
      <c r="C32" s="4"/>
      <c r="D32" s="4" t="s">
        <v>42</v>
      </c>
      <c r="E32" s="41" t="s">
        <v>140</v>
      </c>
      <c r="F32" s="41" t="s">
        <v>140</v>
      </c>
      <c r="G32" s="14" t="s">
        <v>54</v>
      </c>
      <c r="H32" s="41" t="s">
        <v>140</v>
      </c>
      <c r="I32" s="41" t="s">
        <v>140</v>
      </c>
      <c r="J32" s="13"/>
      <c r="L32" s="2"/>
    </row>
    <row r="33" spans="1:12" ht="18.75" x14ac:dyDescent="0.3">
      <c r="A33" s="6" t="s">
        <v>16</v>
      </c>
      <c r="B33" s="5"/>
      <c r="C33" s="4"/>
      <c r="D33" s="4" t="s">
        <v>43</v>
      </c>
      <c r="E33" s="41" t="s">
        <v>140</v>
      </c>
      <c r="F33" s="41" t="s">
        <v>140</v>
      </c>
      <c r="G33" s="14" t="s">
        <v>53</v>
      </c>
      <c r="H33" s="41" t="s">
        <v>140</v>
      </c>
      <c r="I33" s="41" t="s">
        <v>140</v>
      </c>
      <c r="J33" s="13"/>
      <c r="L33" s="2"/>
    </row>
    <row r="34" spans="1:12" ht="18.75" x14ac:dyDescent="0.3">
      <c r="A34" s="6" t="s">
        <v>17</v>
      </c>
      <c r="B34" s="5"/>
      <c r="C34" s="4"/>
      <c r="D34" s="4" t="s">
        <v>44</v>
      </c>
      <c r="E34" s="41" t="s">
        <v>140</v>
      </c>
      <c r="F34" s="41" t="s">
        <v>140</v>
      </c>
      <c r="G34" s="13" t="s">
        <v>30</v>
      </c>
      <c r="H34" s="41" t="s">
        <v>140</v>
      </c>
      <c r="I34" s="41" t="s">
        <v>140</v>
      </c>
      <c r="J34" s="13"/>
      <c r="L34" s="2"/>
    </row>
    <row r="35" spans="1:12" ht="18.75" x14ac:dyDescent="0.3">
      <c r="A35" s="6" t="s">
        <v>18</v>
      </c>
      <c r="B35" s="5"/>
      <c r="C35" s="4"/>
      <c r="D35" s="4" t="s">
        <v>45</v>
      </c>
      <c r="E35" s="41" t="s">
        <v>140</v>
      </c>
      <c r="F35" s="41" t="s">
        <v>140</v>
      </c>
      <c r="G35" s="14" t="s">
        <v>54</v>
      </c>
      <c r="H35" s="41" t="s">
        <v>140</v>
      </c>
      <c r="I35" s="41" t="s">
        <v>140</v>
      </c>
      <c r="J35" s="13"/>
      <c r="L35" s="2"/>
    </row>
    <row r="36" spans="1:12" ht="18.75" x14ac:dyDescent="0.3">
      <c r="A36" s="28"/>
      <c r="B36" s="22"/>
      <c r="C36" s="22"/>
      <c r="D36" s="22"/>
      <c r="E36" s="48"/>
      <c r="F36" s="48"/>
      <c r="G36" s="12"/>
      <c r="H36" s="41"/>
      <c r="I36" s="41">
        <f>SUM(I18:I35)</f>
        <v>149386.4</v>
      </c>
      <c r="J36" s="13"/>
      <c r="L36" s="2"/>
    </row>
    <row r="37" spans="1:12" ht="24" customHeight="1" x14ac:dyDescent="0.3">
      <c r="A37" s="74" t="s">
        <v>86</v>
      </c>
      <c r="B37" s="75"/>
      <c r="C37" s="75"/>
      <c r="D37" s="75"/>
      <c r="E37" s="75"/>
      <c r="F37" s="75"/>
      <c r="G37" s="76"/>
      <c r="H37" s="14"/>
      <c r="I37" s="5"/>
      <c r="J37" s="13"/>
      <c r="L37" s="2"/>
    </row>
    <row r="38" spans="1:12" ht="32.25" customHeight="1" x14ac:dyDescent="0.3">
      <c r="A38" s="6" t="s">
        <v>49</v>
      </c>
      <c r="B38" s="5"/>
      <c r="C38" s="4"/>
      <c r="D38" s="15" t="s">
        <v>163</v>
      </c>
      <c r="E38" s="41" t="s">
        <v>140</v>
      </c>
      <c r="F38" s="41" t="s">
        <v>140</v>
      </c>
      <c r="G38" s="38" t="s">
        <v>31</v>
      </c>
      <c r="H38" s="41" t="s">
        <v>140</v>
      </c>
      <c r="I38" s="41" t="s">
        <v>140</v>
      </c>
      <c r="J38" s="13"/>
      <c r="L38" s="2"/>
    </row>
    <row r="39" spans="1:12" ht="32.25" customHeight="1" x14ac:dyDescent="0.3">
      <c r="A39" s="6"/>
      <c r="B39" s="5"/>
      <c r="C39" s="4"/>
      <c r="D39" s="15" t="s">
        <v>190</v>
      </c>
      <c r="E39" s="41" t="s">
        <v>140</v>
      </c>
      <c r="F39" s="41">
        <f>1.4</f>
        <v>1.4</v>
      </c>
      <c r="G39" s="13" t="s">
        <v>113</v>
      </c>
      <c r="H39" s="45">
        <f>214.8/F39</f>
        <v>153.42857142857144</v>
      </c>
      <c r="I39" s="57">
        <f>F39*H39</f>
        <v>214.8</v>
      </c>
      <c r="J39" s="13" t="s">
        <v>118</v>
      </c>
      <c r="L39" s="2"/>
    </row>
    <row r="40" spans="1:12" ht="32.25" customHeight="1" x14ac:dyDescent="0.3">
      <c r="A40" s="6"/>
      <c r="B40" s="5"/>
      <c r="C40" s="4"/>
      <c r="D40" s="15" t="s">
        <v>166</v>
      </c>
      <c r="E40" s="41" t="s">
        <v>140</v>
      </c>
      <c r="F40" s="41">
        <f>6+2</f>
        <v>8</v>
      </c>
      <c r="G40" s="13" t="s">
        <v>30</v>
      </c>
      <c r="H40" s="45">
        <f>(1617.4+541.4)/F40</f>
        <v>269.85000000000002</v>
      </c>
      <c r="I40" s="57">
        <f>F40*H40</f>
        <v>2158.8000000000002</v>
      </c>
      <c r="J40" s="13" t="s">
        <v>121</v>
      </c>
      <c r="L40" s="2"/>
    </row>
    <row r="41" spans="1:12" ht="32.25" x14ac:dyDescent="0.3">
      <c r="A41" s="6" t="s">
        <v>50</v>
      </c>
      <c r="B41" s="5"/>
      <c r="C41" s="4"/>
      <c r="D41" s="15" t="s">
        <v>100</v>
      </c>
      <c r="E41" s="41" t="s">
        <v>140</v>
      </c>
      <c r="F41" s="41" t="s">
        <v>140</v>
      </c>
      <c r="G41" s="13" t="s">
        <v>54</v>
      </c>
      <c r="H41" s="41"/>
      <c r="I41" s="41" t="s">
        <v>140</v>
      </c>
      <c r="J41" s="13"/>
      <c r="L41" s="2"/>
    </row>
    <row r="42" spans="1:12" ht="32.25" x14ac:dyDescent="0.3">
      <c r="A42" s="6"/>
      <c r="B42" s="5"/>
      <c r="C42" s="4"/>
      <c r="D42" s="15" t="s">
        <v>193</v>
      </c>
      <c r="E42" s="41"/>
      <c r="F42" s="41">
        <f>2</f>
        <v>2</v>
      </c>
      <c r="G42" s="13" t="s">
        <v>31</v>
      </c>
      <c r="H42" s="45">
        <f>12516/F42</f>
        <v>6258</v>
      </c>
      <c r="I42" s="57">
        <f>F42*H42</f>
        <v>12516</v>
      </c>
      <c r="J42" s="13" t="s">
        <v>121</v>
      </c>
      <c r="L42" s="2"/>
    </row>
    <row r="43" spans="1:12" ht="32.25" x14ac:dyDescent="0.3">
      <c r="A43" s="6"/>
      <c r="B43" s="5"/>
      <c r="C43" s="4"/>
      <c r="D43" s="15" t="s">
        <v>194</v>
      </c>
      <c r="E43" s="41"/>
      <c r="F43" s="41">
        <f>1.44</f>
        <v>1.44</v>
      </c>
      <c r="G43" s="13" t="s">
        <v>113</v>
      </c>
      <c r="H43" s="45">
        <f>1936.6/F43</f>
        <v>1344.8611111111111</v>
      </c>
      <c r="I43" s="57">
        <f>F43*H43</f>
        <v>1936.6</v>
      </c>
      <c r="J43" s="13" t="s">
        <v>121</v>
      </c>
      <c r="L43" s="2"/>
    </row>
    <row r="44" spans="1:12" ht="32.25" x14ac:dyDescent="0.3">
      <c r="A44" s="6" t="s">
        <v>59</v>
      </c>
      <c r="B44" s="8"/>
      <c r="C44" s="4"/>
      <c r="D44" s="15" t="s">
        <v>46</v>
      </c>
      <c r="E44" s="41" t="s">
        <v>140</v>
      </c>
      <c r="F44" s="41" t="s">
        <v>140</v>
      </c>
      <c r="G44" s="14" t="s">
        <v>53</v>
      </c>
      <c r="H44" s="41"/>
      <c r="I44" s="41" t="s">
        <v>140</v>
      </c>
      <c r="J44" s="13"/>
      <c r="L44" s="2"/>
    </row>
    <row r="45" spans="1:12" ht="32.25" x14ac:dyDescent="0.3">
      <c r="A45" s="6"/>
      <c r="B45" s="8"/>
      <c r="C45" s="4"/>
      <c r="D45" s="15" t="s">
        <v>171</v>
      </c>
      <c r="E45" s="41" t="s">
        <v>140</v>
      </c>
      <c r="F45" s="41">
        <f>15</f>
        <v>15</v>
      </c>
      <c r="G45" s="14" t="s">
        <v>113</v>
      </c>
      <c r="H45" s="45">
        <f>37556.6/F45</f>
        <v>2503.7733333333331</v>
      </c>
      <c r="I45" s="57">
        <f t="shared" ref="I45:I49" si="0">F45*H45</f>
        <v>37556.6</v>
      </c>
      <c r="J45" s="13" t="s">
        <v>168</v>
      </c>
      <c r="L45" s="2"/>
    </row>
    <row r="46" spans="1:12" ht="32.25" x14ac:dyDescent="0.3">
      <c r="A46" s="6"/>
      <c r="B46" s="8"/>
      <c r="C46" s="4"/>
      <c r="D46" s="15" t="s">
        <v>178</v>
      </c>
      <c r="E46" s="41"/>
      <c r="F46" s="41">
        <v>14.1</v>
      </c>
      <c r="G46" s="14" t="s">
        <v>113</v>
      </c>
      <c r="H46" s="45">
        <f>1603.2/F46</f>
        <v>113.70212765957447</v>
      </c>
      <c r="I46" s="57">
        <f t="shared" ref="I46" si="1">F46*H46</f>
        <v>1603.2</v>
      </c>
      <c r="J46" s="13" t="s">
        <v>121</v>
      </c>
      <c r="L46" s="2"/>
    </row>
    <row r="47" spans="1:12" ht="32.25" x14ac:dyDescent="0.3">
      <c r="A47" s="6"/>
      <c r="B47" s="8"/>
      <c r="C47" s="4"/>
      <c r="D47" s="15" t="s">
        <v>175</v>
      </c>
      <c r="E47" s="41"/>
      <c r="F47" s="41">
        <f>14.1</f>
        <v>14.1</v>
      </c>
      <c r="G47" s="14" t="s">
        <v>113</v>
      </c>
      <c r="H47" s="45">
        <f>12460.6/F47</f>
        <v>883.73049645390074</v>
      </c>
      <c r="I47" s="57">
        <f t="shared" si="0"/>
        <v>12460.6</v>
      </c>
      <c r="J47" s="13" t="s">
        <v>121</v>
      </c>
      <c r="L47" s="2"/>
    </row>
    <row r="48" spans="1:12" ht="32.25" x14ac:dyDescent="0.3">
      <c r="A48" s="6"/>
      <c r="B48" s="8"/>
      <c r="C48" s="4"/>
      <c r="D48" s="15" t="s">
        <v>176</v>
      </c>
      <c r="E48" s="41"/>
      <c r="F48" s="41">
        <v>50.92</v>
      </c>
      <c r="G48" s="14" t="s">
        <v>113</v>
      </c>
      <c r="H48" s="45">
        <f>4769.6/F48</f>
        <v>93.668499607227034</v>
      </c>
      <c r="I48" s="57">
        <f t="shared" si="0"/>
        <v>4769.6000000000004</v>
      </c>
      <c r="J48" s="13" t="s">
        <v>121</v>
      </c>
      <c r="L48" s="2"/>
    </row>
    <row r="49" spans="1:12" ht="32.25" x14ac:dyDescent="0.3">
      <c r="A49" s="6"/>
      <c r="B49" s="8"/>
      <c r="C49" s="4"/>
      <c r="D49" s="15" t="s">
        <v>177</v>
      </c>
      <c r="E49" s="41"/>
      <c r="F49" s="41">
        <f>50.92</f>
        <v>50.92</v>
      </c>
      <c r="G49" s="14" t="s">
        <v>113</v>
      </c>
      <c r="H49" s="45">
        <f>32793/F49</f>
        <v>644.0102120974077</v>
      </c>
      <c r="I49" s="57">
        <f t="shared" si="0"/>
        <v>32793</v>
      </c>
      <c r="J49" s="13" t="s">
        <v>121</v>
      </c>
      <c r="L49" s="2"/>
    </row>
    <row r="50" spans="1:12" ht="18.75" x14ac:dyDescent="0.3">
      <c r="A50" s="6" t="s">
        <v>61</v>
      </c>
      <c r="B50" s="5"/>
      <c r="C50" s="4"/>
      <c r="D50" s="15" t="s">
        <v>51</v>
      </c>
      <c r="E50" s="41" t="s">
        <v>140</v>
      </c>
      <c r="F50" s="41" t="s">
        <v>140</v>
      </c>
      <c r="G50" s="14" t="s">
        <v>53</v>
      </c>
      <c r="H50" s="41" t="s">
        <v>140</v>
      </c>
      <c r="I50" s="41" t="s">
        <v>140</v>
      </c>
      <c r="J50" s="13"/>
      <c r="L50" s="2"/>
    </row>
    <row r="51" spans="1:12" ht="32.25" x14ac:dyDescent="0.3">
      <c r="A51" s="6"/>
      <c r="B51" s="5"/>
      <c r="C51" s="4"/>
      <c r="D51" s="15" t="s">
        <v>192</v>
      </c>
      <c r="E51" s="41"/>
      <c r="F51" s="41">
        <f>14.23</f>
        <v>14.23</v>
      </c>
      <c r="G51" s="14" t="s">
        <v>113</v>
      </c>
      <c r="H51" s="45">
        <f>1125.6/F51</f>
        <v>79.100491918482078</v>
      </c>
      <c r="I51" s="57">
        <f>F51*H51</f>
        <v>1125.5999999999999</v>
      </c>
      <c r="J51" s="13" t="s">
        <v>121</v>
      </c>
      <c r="L51" s="2"/>
    </row>
    <row r="52" spans="1:12" ht="32.25" x14ac:dyDescent="0.3">
      <c r="A52" s="6" t="s">
        <v>62</v>
      </c>
      <c r="B52" s="5"/>
      <c r="C52" s="4"/>
      <c r="D52" s="15" t="s">
        <v>64</v>
      </c>
      <c r="E52" s="41" t="s">
        <v>140</v>
      </c>
      <c r="F52" s="41" t="s">
        <v>140</v>
      </c>
      <c r="G52" s="13" t="s">
        <v>30</v>
      </c>
      <c r="H52" s="41" t="s">
        <v>140</v>
      </c>
      <c r="I52" s="41" t="s">
        <v>140</v>
      </c>
      <c r="J52" s="13"/>
      <c r="L52" s="2"/>
    </row>
    <row r="53" spans="1:12" ht="18.75" x14ac:dyDescent="0.3">
      <c r="A53" s="6"/>
      <c r="B53" s="5"/>
      <c r="C53" s="4"/>
      <c r="D53" s="15" t="s">
        <v>149</v>
      </c>
      <c r="E53" s="41" t="s">
        <v>140</v>
      </c>
      <c r="F53" s="41" t="s">
        <v>140</v>
      </c>
      <c r="G53" s="13" t="s">
        <v>31</v>
      </c>
      <c r="H53" s="41" t="s">
        <v>140</v>
      </c>
      <c r="I53" s="41" t="s">
        <v>140</v>
      </c>
      <c r="J53" s="13"/>
      <c r="L53" s="2"/>
    </row>
    <row r="54" spans="1:12" ht="18.75" x14ac:dyDescent="0.3">
      <c r="A54" s="6" t="s">
        <v>58</v>
      </c>
      <c r="B54" s="8"/>
      <c r="C54" s="4"/>
      <c r="D54" s="4" t="s">
        <v>47</v>
      </c>
      <c r="E54" s="41" t="s">
        <v>140</v>
      </c>
      <c r="F54" s="41" t="s">
        <v>140</v>
      </c>
      <c r="G54" s="14" t="s">
        <v>53</v>
      </c>
      <c r="H54" s="41" t="s">
        <v>140</v>
      </c>
      <c r="I54" s="41" t="s">
        <v>140</v>
      </c>
      <c r="J54" s="13"/>
      <c r="L54" s="2"/>
    </row>
    <row r="55" spans="1:12" ht="24" customHeight="1" x14ac:dyDescent="0.3">
      <c r="A55" s="6" t="s">
        <v>60</v>
      </c>
      <c r="B55" s="8"/>
      <c r="C55" s="4"/>
      <c r="D55" s="4" t="s">
        <v>48</v>
      </c>
      <c r="E55" s="41" t="s">
        <v>140</v>
      </c>
      <c r="F55" s="41" t="s">
        <v>140</v>
      </c>
      <c r="G55" s="14" t="s">
        <v>53</v>
      </c>
      <c r="H55" s="41" t="s">
        <v>140</v>
      </c>
      <c r="I55" s="41" t="s">
        <v>140</v>
      </c>
      <c r="J55" s="13"/>
      <c r="L55" s="2"/>
    </row>
    <row r="56" spans="1:12" ht="18.75" x14ac:dyDescent="0.3">
      <c r="A56" s="6" t="s">
        <v>65</v>
      </c>
      <c r="B56" s="5"/>
      <c r="C56" s="4"/>
      <c r="D56" s="4" t="s">
        <v>93</v>
      </c>
      <c r="E56" s="41" t="s">
        <v>140</v>
      </c>
      <c r="F56" s="41" t="s">
        <v>140</v>
      </c>
      <c r="G56" s="14" t="s">
        <v>54</v>
      </c>
      <c r="H56" s="41" t="s">
        <v>140</v>
      </c>
      <c r="I56" s="41" t="s">
        <v>140</v>
      </c>
      <c r="J56" s="13"/>
      <c r="L56" s="2"/>
    </row>
    <row r="57" spans="1:12" ht="18.75" x14ac:dyDescent="0.3">
      <c r="A57" s="28"/>
      <c r="B57" s="22"/>
      <c r="C57" s="22"/>
      <c r="D57" s="22"/>
      <c r="E57" s="48"/>
      <c r="F57" s="48"/>
      <c r="G57" s="12"/>
      <c r="H57" s="41"/>
      <c r="I57" s="45">
        <f>SUM(I39:I56)</f>
        <v>107134.80000000002</v>
      </c>
      <c r="J57" s="13"/>
      <c r="L57" s="2"/>
    </row>
    <row r="58" spans="1:12" ht="18.75" x14ac:dyDescent="0.3">
      <c r="A58" s="74" t="s">
        <v>67</v>
      </c>
      <c r="B58" s="75"/>
      <c r="C58" s="75"/>
      <c r="D58" s="75"/>
      <c r="E58" s="75"/>
      <c r="F58" s="75"/>
      <c r="G58" s="76"/>
      <c r="H58" s="18"/>
      <c r="I58" s="5"/>
      <c r="J58" s="13"/>
      <c r="L58" s="2"/>
    </row>
    <row r="59" spans="1:12" ht="37.5" x14ac:dyDescent="0.25">
      <c r="A59" s="9" t="s">
        <v>29</v>
      </c>
      <c r="B59" s="8"/>
      <c r="C59" s="4"/>
      <c r="D59" s="15" t="s">
        <v>142</v>
      </c>
      <c r="E59" s="41"/>
      <c r="F59" s="41">
        <f>8</f>
        <v>8</v>
      </c>
      <c r="G59" s="13" t="s">
        <v>54</v>
      </c>
      <c r="H59" s="41">
        <f>1382/F59</f>
        <v>172.75</v>
      </c>
      <c r="I59" s="41">
        <f>F59*H59</f>
        <v>1382</v>
      </c>
      <c r="J59" s="13" t="s">
        <v>121</v>
      </c>
      <c r="L59" s="2"/>
    </row>
    <row r="60" spans="1:12" ht="46.5" customHeight="1" x14ac:dyDescent="0.25">
      <c r="A60" s="9" t="s">
        <v>92</v>
      </c>
      <c r="B60" s="8"/>
      <c r="C60" s="4"/>
      <c r="D60" s="42" t="s">
        <v>126</v>
      </c>
      <c r="E60" s="32"/>
      <c r="F60" s="13">
        <v>596.79999999999995</v>
      </c>
      <c r="G60" s="13" t="s">
        <v>113</v>
      </c>
      <c r="H60" s="33">
        <f>(2793.2+2793.2+2793.2+2811.1+2811.4+2811.4+2920.8+2920.8+2920.8+2957.6+2957.6+2957.6)/F60</f>
        <v>57.722352546916888</v>
      </c>
      <c r="I60" s="33">
        <f t="shared" ref="I60:I61" si="2">F60*H60</f>
        <v>34448.699999999997</v>
      </c>
      <c r="J60" s="13" t="s">
        <v>116</v>
      </c>
      <c r="L60" s="2"/>
    </row>
    <row r="61" spans="1:12" ht="46.5" customHeight="1" x14ac:dyDescent="0.25">
      <c r="A61" s="9"/>
      <c r="B61" s="8"/>
      <c r="C61" s="4"/>
      <c r="D61" s="15" t="s">
        <v>112</v>
      </c>
      <c r="E61" s="32"/>
      <c r="F61" s="13">
        <f>1015</f>
        <v>1015</v>
      </c>
      <c r="G61" s="13" t="s">
        <v>30</v>
      </c>
      <c r="H61" s="33">
        <f>92727.4/F61</f>
        <v>91.35704433497537</v>
      </c>
      <c r="I61" s="33">
        <f t="shared" si="2"/>
        <v>92727.4</v>
      </c>
      <c r="J61" s="13" t="s">
        <v>118</v>
      </c>
      <c r="L61" s="2"/>
    </row>
    <row r="62" spans="1:12" ht="46.5" customHeight="1" x14ac:dyDescent="0.25">
      <c r="A62" s="9"/>
      <c r="B62" s="8"/>
      <c r="C62" s="4"/>
      <c r="D62" s="15" t="s">
        <v>155</v>
      </c>
      <c r="E62" s="41" t="s">
        <v>140</v>
      </c>
      <c r="F62" s="41">
        <f>0.5+2</f>
        <v>2.5</v>
      </c>
      <c r="G62" s="13" t="s">
        <v>30</v>
      </c>
      <c r="H62" s="41">
        <f>(176.4+713.6)/F62</f>
        <v>356</v>
      </c>
      <c r="I62" s="57">
        <f>F62*H62</f>
        <v>890</v>
      </c>
      <c r="J62" s="13" t="s">
        <v>118</v>
      </c>
      <c r="L62" s="2"/>
    </row>
    <row r="63" spans="1:12" ht="79.5" customHeight="1" x14ac:dyDescent="0.25">
      <c r="A63" s="9"/>
      <c r="B63" s="8"/>
      <c r="C63" s="4"/>
      <c r="D63" s="15" t="s">
        <v>156</v>
      </c>
      <c r="E63" s="41" t="s">
        <v>140</v>
      </c>
      <c r="F63" s="41">
        <f>2</f>
        <v>2</v>
      </c>
      <c r="G63" s="13" t="s">
        <v>154</v>
      </c>
      <c r="H63" s="41">
        <f>71.4/F63</f>
        <v>35.700000000000003</v>
      </c>
      <c r="I63" s="57">
        <f>F63*H63</f>
        <v>71.400000000000006</v>
      </c>
      <c r="J63" s="13" t="s">
        <v>118</v>
      </c>
      <c r="L63" s="2"/>
    </row>
    <row r="64" spans="1:12" ht="46.5" customHeight="1" x14ac:dyDescent="0.25">
      <c r="A64" s="9"/>
      <c r="B64" s="8"/>
      <c r="C64" s="4"/>
      <c r="D64" s="15" t="s">
        <v>179</v>
      </c>
      <c r="E64" s="41" t="s">
        <v>140</v>
      </c>
      <c r="F64" s="41">
        <v>0.5</v>
      </c>
      <c r="G64" s="13" t="s">
        <v>30</v>
      </c>
      <c r="H64" s="41">
        <f>193/F64</f>
        <v>386</v>
      </c>
      <c r="I64" s="57">
        <f>F64*H64</f>
        <v>193</v>
      </c>
      <c r="J64" s="13" t="s">
        <v>118</v>
      </c>
      <c r="L64" s="2"/>
    </row>
    <row r="65" spans="1:12" ht="74.25" customHeight="1" x14ac:dyDescent="0.25">
      <c r="A65" s="9"/>
      <c r="B65" s="8"/>
      <c r="C65" s="4"/>
      <c r="D65" s="15" t="s">
        <v>187</v>
      </c>
      <c r="E65" s="41" t="s">
        <v>140</v>
      </c>
      <c r="F65" s="41">
        <f>3</f>
        <v>3</v>
      </c>
      <c r="G65" s="13" t="s">
        <v>154</v>
      </c>
      <c r="H65" s="41">
        <f>71.4/F65</f>
        <v>23.8</v>
      </c>
      <c r="I65" s="57">
        <f>F65*H65</f>
        <v>71.400000000000006</v>
      </c>
      <c r="J65" s="13" t="s">
        <v>123</v>
      </c>
      <c r="L65" s="2"/>
    </row>
    <row r="66" spans="1:12" ht="46.5" customHeight="1" x14ac:dyDescent="0.25">
      <c r="A66" s="9"/>
      <c r="B66" s="8"/>
      <c r="C66" s="4"/>
      <c r="D66" s="15" t="s">
        <v>188</v>
      </c>
      <c r="E66" s="41" t="s">
        <v>140</v>
      </c>
      <c r="F66" s="41">
        <f>2</f>
        <v>2</v>
      </c>
      <c r="G66" s="13" t="s">
        <v>30</v>
      </c>
      <c r="H66" s="41">
        <f>1090/F66</f>
        <v>545</v>
      </c>
      <c r="I66" s="57">
        <f>F66*H66</f>
        <v>1090</v>
      </c>
      <c r="J66" s="13" t="s">
        <v>123</v>
      </c>
      <c r="L66" s="2"/>
    </row>
    <row r="67" spans="1:12" ht="46.5" customHeight="1" x14ac:dyDescent="0.25">
      <c r="A67" s="9"/>
      <c r="B67" s="8"/>
      <c r="C67" s="4"/>
      <c r="D67" s="15" t="s">
        <v>153</v>
      </c>
      <c r="E67" s="41" t="s">
        <v>140</v>
      </c>
      <c r="F67" s="41" t="s">
        <v>140</v>
      </c>
      <c r="G67" s="13" t="s">
        <v>147</v>
      </c>
      <c r="H67" s="41" t="s">
        <v>140</v>
      </c>
      <c r="I67" s="41" t="s">
        <v>140</v>
      </c>
      <c r="J67" s="13"/>
      <c r="L67" s="2"/>
    </row>
    <row r="68" spans="1:12" ht="46.5" customHeight="1" x14ac:dyDescent="0.25">
      <c r="A68" s="9"/>
      <c r="B68" s="8"/>
      <c r="C68" s="4"/>
      <c r="D68" s="15" t="s">
        <v>186</v>
      </c>
      <c r="E68" s="41" t="s">
        <v>140</v>
      </c>
      <c r="F68" s="41">
        <f>8</f>
        <v>8</v>
      </c>
      <c r="G68" s="13" t="s">
        <v>31</v>
      </c>
      <c r="H68" s="41">
        <f>16619.2/F68</f>
        <v>2077.4</v>
      </c>
      <c r="I68" s="65">
        <f>F68*H68</f>
        <v>16619.2</v>
      </c>
      <c r="J68" s="13" t="s">
        <v>123</v>
      </c>
      <c r="L68" s="2"/>
    </row>
    <row r="69" spans="1:12" ht="31.5" x14ac:dyDescent="0.25">
      <c r="A69" s="9" t="s">
        <v>83</v>
      </c>
      <c r="B69" s="8"/>
      <c r="C69" s="4"/>
      <c r="D69" s="15" t="s">
        <v>151</v>
      </c>
      <c r="E69" s="41" t="s">
        <v>140</v>
      </c>
      <c r="F69" s="41" t="s">
        <v>140</v>
      </c>
      <c r="G69" s="13" t="s">
        <v>54</v>
      </c>
      <c r="H69" s="41" t="s">
        <v>140</v>
      </c>
      <c r="I69" s="41" t="s">
        <v>140</v>
      </c>
      <c r="J69" s="13"/>
      <c r="L69" s="2"/>
    </row>
    <row r="70" spans="1:12" ht="18.75" x14ac:dyDescent="0.25">
      <c r="A70" s="9"/>
      <c r="B70" s="8"/>
      <c r="C70" s="4"/>
      <c r="D70" s="15" t="s">
        <v>189</v>
      </c>
      <c r="E70" s="41"/>
      <c r="F70" s="41">
        <f>4</f>
        <v>4</v>
      </c>
      <c r="G70" s="13" t="s">
        <v>31</v>
      </c>
      <c r="H70" s="41">
        <f>6059.2/F70</f>
        <v>1514.8</v>
      </c>
      <c r="I70" s="65">
        <f>F70*H70</f>
        <v>6059.2</v>
      </c>
      <c r="J70" s="13" t="s">
        <v>123</v>
      </c>
      <c r="L70" s="2"/>
    </row>
    <row r="71" spans="1:12" ht="18.75" x14ac:dyDescent="0.25">
      <c r="A71" s="9"/>
      <c r="B71" s="8"/>
      <c r="C71" s="4"/>
      <c r="D71" s="15" t="s">
        <v>133</v>
      </c>
      <c r="E71" s="41"/>
      <c r="F71" s="41">
        <f>4+4</f>
        <v>8</v>
      </c>
      <c r="G71" s="13" t="s">
        <v>31</v>
      </c>
      <c r="H71" s="41">
        <f>9653.2/F71</f>
        <v>1206.6500000000001</v>
      </c>
      <c r="I71" s="57">
        <f>F71*H71</f>
        <v>9653.2000000000007</v>
      </c>
      <c r="J71" s="13" t="s">
        <v>118</v>
      </c>
      <c r="L71" s="2"/>
    </row>
    <row r="72" spans="1:12" ht="18.75" x14ac:dyDescent="0.25">
      <c r="A72" s="9" t="s">
        <v>20</v>
      </c>
      <c r="B72" s="8"/>
      <c r="C72" s="4"/>
      <c r="D72" s="15" t="s">
        <v>68</v>
      </c>
      <c r="E72" s="41" t="s">
        <v>140</v>
      </c>
      <c r="F72" s="41" t="s">
        <v>140</v>
      </c>
      <c r="G72" s="13" t="s">
        <v>30</v>
      </c>
      <c r="H72" s="41"/>
      <c r="I72" s="41" t="s">
        <v>140</v>
      </c>
      <c r="J72" s="13"/>
      <c r="L72" s="2"/>
    </row>
    <row r="73" spans="1:12" ht="31.5" x14ac:dyDescent="0.25">
      <c r="A73" s="9" t="s">
        <v>21</v>
      </c>
      <c r="B73" s="8"/>
      <c r="C73" s="4"/>
      <c r="D73" s="15" t="s">
        <v>70</v>
      </c>
      <c r="E73" s="41" t="s">
        <v>140</v>
      </c>
      <c r="F73" s="41" t="s">
        <v>140</v>
      </c>
      <c r="G73" s="13" t="s">
        <v>54</v>
      </c>
      <c r="H73" s="41"/>
      <c r="I73" s="41" t="s">
        <v>140</v>
      </c>
      <c r="J73" s="13"/>
      <c r="L73" s="2"/>
    </row>
    <row r="74" spans="1:12" ht="18.75" x14ac:dyDescent="0.25">
      <c r="A74" s="49"/>
      <c r="B74" s="50"/>
      <c r="C74" s="22"/>
      <c r="D74" s="30"/>
      <c r="E74" s="48"/>
      <c r="F74" s="48"/>
      <c r="G74" s="31"/>
      <c r="H74" s="41"/>
      <c r="I74" s="45">
        <f>SUM(I59:I73)</f>
        <v>163205.5</v>
      </c>
      <c r="J74" s="13"/>
      <c r="L74" s="2"/>
    </row>
    <row r="75" spans="1:12" ht="18.75" x14ac:dyDescent="0.3">
      <c r="A75" s="70" t="s">
        <v>71</v>
      </c>
      <c r="B75" s="71"/>
      <c r="C75" s="71"/>
      <c r="D75" s="71"/>
      <c r="E75" s="71"/>
      <c r="F75" s="71"/>
      <c r="G75" s="72"/>
      <c r="H75" s="19"/>
      <c r="I75" s="5"/>
      <c r="J75" s="13"/>
      <c r="L75" s="2"/>
    </row>
    <row r="76" spans="1:12" ht="37.5" x14ac:dyDescent="0.25">
      <c r="A76" s="9" t="s">
        <v>92</v>
      </c>
      <c r="B76" s="8"/>
      <c r="C76" s="4"/>
      <c r="D76" s="4" t="s">
        <v>129</v>
      </c>
      <c r="E76" s="41" t="s">
        <v>140</v>
      </c>
      <c r="F76" s="41" t="s">
        <v>140</v>
      </c>
      <c r="G76" s="13" t="s">
        <v>115</v>
      </c>
      <c r="H76" s="41"/>
      <c r="I76" s="41" t="s">
        <v>140</v>
      </c>
      <c r="J76" s="13"/>
      <c r="L76" s="2"/>
    </row>
    <row r="77" spans="1:12" ht="18.75" x14ac:dyDescent="0.25">
      <c r="A77" s="9"/>
      <c r="B77" s="8"/>
      <c r="C77" s="4"/>
      <c r="D77" s="15" t="s">
        <v>146</v>
      </c>
      <c r="E77" s="41" t="s">
        <v>140</v>
      </c>
      <c r="F77" s="41" t="s">
        <v>140</v>
      </c>
      <c r="G77" s="13" t="s">
        <v>31</v>
      </c>
      <c r="H77" s="41"/>
      <c r="I77" s="41" t="s">
        <v>140</v>
      </c>
      <c r="J77" s="13"/>
      <c r="L77" s="2"/>
    </row>
    <row r="78" spans="1:12" ht="18.75" x14ac:dyDescent="0.25">
      <c r="A78" s="9" t="s">
        <v>83</v>
      </c>
      <c r="B78" s="8"/>
      <c r="C78" s="4"/>
      <c r="D78" s="15" t="s">
        <v>69</v>
      </c>
      <c r="E78" s="41" t="s">
        <v>140</v>
      </c>
      <c r="F78" s="41" t="s">
        <v>140</v>
      </c>
      <c r="G78" s="13" t="s">
        <v>54</v>
      </c>
      <c r="H78" s="41"/>
      <c r="I78" s="41" t="s">
        <v>140</v>
      </c>
      <c r="J78" s="13"/>
      <c r="L78" s="2"/>
    </row>
    <row r="79" spans="1:12" ht="18.75" x14ac:dyDescent="0.25">
      <c r="A79" s="9"/>
      <c r="B79" s="8"/>
      <c r="C79" s="4"/>
      <c r="D79" s="15" t="s">
        <v>158</v>
      </c>
      <c r="E79" s="41" t="s">
        <v>140</v>
      </c>
      <c r="F79" s="41" t="s">
        <v>140</v>
      </c>
      <c r="G79" s="13" t="s">
        <v>31</v>
      </c>
      <c r="H79" s="41"/>
      <c r="I79" s="41" t="s">
        <v>140</v>
      </c>
      <c r="J79" s="13"/>
      <c r="L79" s="2"/>
    </row>
    <row r="80" spans="1:12" ht="31.5" x14ac:dyDescent="0.25">
      <c r="A80" s="9" t="s">
        <v>21</v>
      </c>
      <c r="B80" s="8"/>
      <c r="C80" s="4"/>
      <c r="D80" s="15" t="s">
        <v>70</v>
      </c>
      <c r="E80" s="41" t="s">
        <v>140</v>
      </c>
      <c r="F80" s="41" t="s">
        <v>140</v>
      </c>
      <c r="G80" s="13" t="s">
        <v>143</v>
      </c>
      <c r="H80" s="41"/>
      <c r="I80" s="41" t="s">
        <v>140</v>
      </c>
      <c r="J80" s="13"/>
      <c r="L80" s="2"/>
    </row>
    <row r="81" spans="1:12" ht="18.75" x14ac:dyDescent="0.25">
      <c r="A81" s="49"/>
      <c r="B81" s="50"/>
      <c r="C81" s="22"/>
      <c r="D81" s="30"/>
      <c r="E81" s="48"/>
      <c r="F81" s="48"/>
      <c r="G81" s="31"/>
      <c r="H81" s="41"/>
      <c r="I81" s="41"/>
      <c r="J81" s="13"/>
      <c r="L81" s="2"/>
    </row>
    <row r="82" spans="1:12" ht="18.75" x14ac:dyDescent="0.3">
      <c r="A82" s="70" t="s">
        <v>72</v>
      </c>
      <c r="B82" s="71"/>
      <c r="C82" s="71"/>
      <c r="D82" s="71"/>
      <c r="E82" s="71"/>
      <c r="F82" s="71"/>
      <c r="G82" s="72"/>
      <c r="H82" s="13"/>
      <c r="I82" s="5"/>
      <c r="J82" s="13"/>
      <c r="L82" s="2"/>
    </row>
    <row r="83" spans="1:12" ht="37.5" x14ac:dyDescent="0.25">
      <c r="A83" s="9" t="s">
        <v>92</v>
      </c>
      <c r="B83" s="8"/>
      <c r="C83" s="4"/>
      <c r="D83" s="4" t="s">
        <v>161</v>
      </c>
      <c r="E83" s="31"/>
      <c r="F83" s="66">
        <f>2+1+2+2+1+1+1+1+2</f>
        <v>13</v>
      </c>
      <c r="G83" s="13" t="s">
        <v>115</v>
      </c>
      <c r="H83" s="33">
        <f>(1402.8+702.2+1402.6+1412.8+705.4+705.4+734+734+1486.6)/F83/2</f>
        <v>357.14615384615382</v>
      </c>
      <c r="I83" s="33">
        <f>F83*H83</f>
        <v>4642.8999999999996</v>
      </c>
      <c r="J83" s="13" t="s">
        <v>116</v>
      </c>
      <c r="L83" s="2"/>
    </row>
    <row r="84" spans="1:12" ht="18.75" x14ac:dyDescent="0.25">
      <c r="A84" s="9" t="s">
        <v>83</v>
      </c>
      <c r="B84" s="8"/>
      <c r="C84" s="4"/>
      <c r="D84" s="15" t="s">
        <v>69</v>
      </c>
      <c r="E84" s="41" t="s">
        <v>140</v>
      </c>
      <c r="F84" s="41" t="s">
        <v>140</v>
      </c>
      <c r="G84" s="14" t="s">
        <v>54</v>
      </c>
      <c r="H84" s="41"/>
      <c r="I84" s="41" t="s">
        <v>140</v>
      </c>
      <c r="J84" s="13"/>
      <c r="L84" s="2"/>
    </row>
    <row r="85" spans="1:12" ht="31.5" x14ac:dyDescent="0.25">
      <c r="A85" s="9" t="s">
        <v>21</v>
      </c>
      <c r="B85" s="8"/>
      <c r="C85" s="4"/>
      <c r="D85" s="15" t="s">
        <v>70</v>
      </c>
      <c r="E85" s="41" t="s">
        <v>140</v>
      </c>
      <c r="F85" s="41" t="s">
        <v>140</v>
      </c>
      <c r="G85" s="14" t="s">
        <v>54</v>
      </c>
      <c r="H85" s="41"/>
      <c r="I85" s="41" t="s">
        <v>140</v>
      </c>
      <c r="J85" s="13"/>
      <c r="L85" s="2"/>
    </row>
    <row r="86" spans="1:12" ht="18.75" x14ac:dyDescent="0.25">
      <c r="A86" s="49"/>
      <c r="B86" s="50"/>
      <c r="C86" s="22"/>
      <c r="D86" s="30"/>
      <c r="E86" s="48"/>
      <c r="F86" s="48"/>
      <c r="G86" s="12"/>
      <c r="H86" s="41"/>
      <c r="I86" s="45">
        <f>SUM(I83:I85)</f>
        <v>4642.8999999999996</v>
      </c>
      <c r="J86" s="13"/>
      <c r="L86" s="2"/>
    </row>
    <row r="87" spans="1:12" ht="18.75" x14ac:dyDescent="0.3">
      <c r="A87" s="70" t="s">
        <v>73</v>
      </c>
      <c r="B87" s="71"/>
      <c r="C87" s="71"/>
      <c r="D87" s="71"/>
      <c r="E87" s="71"/>
      <c r="F87" s="71"/>
      <c r="G87" s="72"/>
      <c r="H87" s="19"/>
      <c r="I87" s="5"/>
      <c r="J87" s="13"/>
      <c r="L87" s="2"/>
    </row>
    <row r="88" spans="1:12" ht="37.5" x14ac:dyDescent="0.25">
      <c r="A88" s="9" t="s">
        <v>98</v>
      </c>
      <c r="B88" s="8"/>
      <c r="C88" s="4"/>
      <c r="D88" s="4" t="s">
        <v>130</v>
      </c>
      <c r="E88" s="31"/>
      <c r="F88" s="66">
        <f>2+1+2+2+1+1+1+1+2</f>
        <v>13</v>
      </c>
      <c r="G88" s="13" t="s">
        <v>115</v>
      </c>
      <c r="H88" s="33">
        <f>(1402.8+702.2+1402.6+1412.8+705.4+705.4+734+734+1486.6)/F88/2</f>
        <v>357.14615384615382</v>
      </c>
      <c r="I88" s="33">
        <f>F88*H88</f>
        <v>4642.8999999999996</v>
      </c>
      <c r="J88" s="13" t="s">
        <v>116</v>
      </c>
      <c r="L88" s="2"/>
    </row>
    <row r="89" spans="1:12" ht="31.5" x14ac:dyDescent="0.25">
      <c r="A89" s="9"/>
      <c r="B89" s="8"/>
      <c r="C89" s="4"/>
      <c r="D89" s="15" t="s">
        <v>122</v>
      </c>
      <c r="E89" s="41" t="s">
        <v>140</v>
      </c>
      <c r="F89" s="41" t="s">
        <v>140</v>
      </c>
      <c r="G89" s="13" t="s">
        <v>30</v>
      </c>
      <c r="H89" s="41"/>
      <c r="I89" s="45" t="s">
        <v>140</v>
      </c>
      <c r="J89" s="13"/>
      <c r="L89" s="2"/>
    </row>
    <row r="90" spans="1:12" ht="18.75" x14ac:dyDescent="0.25">
      <c r="A90" s="9"/>
      <c r="B90" s="8"/>
      <c r="C90" s="4"/>
      <c r="D90" s="4" t="s">
        <v>114</v>
      </c>
      <c r="E90" s="41" t="s">
        <v>140</v>
      </c>
      <c r="F90" s="41">
        <f>5</f>
        <v>5</v>
      </c>
      <c r="G90" s="13" t="s">
        <v>30</v>
      </c>
      <c r="H90" s="41">
        <f>1669.8/F90</f>
        <v>333.96</v>
      </c>
      <c r="I90" s="45">
        <f>F90*H90</f>
        <v>1669.8</v>
      </c>
      <c r="J90" s="13" t="s">
        <v>116</v>
      </c>
      <c r="L90" s="2"/>
    </row>
    <row r="91" spans="1:12" ht="18.75" x14ac:dyDescent="0.25">
      <c r="A91" s="9"/>
      <c r="B91" s="8"/>
      <c r="C91" s="4"/>
      <c r="D91" s="4" t="s">
        <v>157</v>
      </c>
      <c r="E91" s="41" t="s">
        <v>140</v>
      </c>
      <c r="F91" s="41" t="s">
        <v>140</v>
      </c>
      <c r="G91" s="13" t="s">
        <v>137</v>
      </c>
      <c r="H91" s="41"/>
      <c r="I91" s="45" t="s">
        <v>140</v>
      </c>
      <c r="J91" s="13"/>
      <c r="L91" s="2"/>
    </row>
    <row r="92" spans="1:12" ht="18.75" x14ac:dyDescent="0.25">
      <c r="A92" s="9" t="s">
        <v>22</v>
      </c>
      <c r="B92" s="8"/>
      <c r="C92" s="4"/>
      <c r="D92" s="4" t="s">
        <v>76</v>
      </c>
      <c r="E92" s="41" t="s">
        <v>140</v>
      </c>
      <c r="F92" s="41" t="s">
        <v>140</v>
      </c>
      <c r="G92" s="13" t="s">
        <v>30</v>
      </c>
      <c r="H92" s="41"/>
      <c r="I92" s="45" t="s">
        <v>140</v>
      </c>
      <c r="J92" s="13"/>
      <c r="L92" s="2"/>
    </row>
    <row r="93" spans="1:12" ht="18.75" x14ac:dyDescent="0.25">
      <c r="A93" s="49"/>
      <c r="B93" s="50"/>
      <c r="C93" s="22"/>
      <c r="D93" s="22"/>
      <c r="E93" s="48"/>
      <c r="F93" s="48"/>
      <c r="G93" s="31"/>
      <c r="H93" s="41"/>
      <c r="I93" s="45">
        <f>SUM(I88:I92)</f>
        <v>6312.7</v>
      </c>
      <c r="J93" s="13"/>
      <c r="L93" s="2"/>
    </row>
    <row r="94" spans="1:12" ht="18.75" x14ac:dyDescent="0.3">
      <c r="A94" s="70" t="s">
        <v>78</v>
      </c>
      <c r="B94" s="71"/>
      <c r="C94" s="71"/>
      <c r="D94" s="71"/>
      <c r="E94" s="71"/>
      <c r="F94" s="71"/>
      <c r="G94" s="72"/>
      <c r="H94" s="5"/>
      <c r="I94" s="5"/>
      <c r="J94" s="13"/>
      <c r="L94" s="2"/>
    </row>
    <row r="95" spans="1:12" ht="38.25" customHeight="1" x14ac:dyDescent="0.25">
      <c r="A95" s="9" t="s">
        <v>23</v>
      </c>
      <c r="B95" s="5"/>
      <c r="C95" s="4"/>
      <c r="D95" s="15" t="s">
        <v>141</v>
      </c>
      <c r="E95" s="41"/>
      <c r="F95" s="41"/>
      <c r="G95" s="13" t="s">
        <v>54</v>
      </c>
      <c r="H95" s="41"/>
      <c r="I95" s="41"/>
      <c r="J95" s="13"/>
      <c r="L95" s="2"/>
    </row>
    <row r="96" spans="1:12" ht="18.75" x14ac:dyDescent="0.25">
      <c r="A96" s="9" t="s">
        <v>24</v>
      </c>
      <c r="B96" s="5"/>
      <c r="C96" s="4"/>
      <c r="D96" s="4" t="s">
        <v>77</v>
      </c>
      <c r="E96" s="41"/>
      <c r="F96" s="41"/>
      <c r="G96" s="13" t="s">
        <v>54</v>
      </c>
      <c r="H96" s="41"/>
      <c r="I96" s="41" t="s">
        <v>140</v>
      </c>
      <c r="J96" s="13"/>
      <c r="L96" s="2"/>
    </row>
    <row r="97" spans="1:12" ht="18.75" x14ac:dyDescent="0.25">
      <c r="A97" s="9" t="s">
        <v>127</v>
      </c>
      <c r="B97" s="5"/>
      <c r="C97" s="4"/>
      <c r="D97" s="15" t="s">
        <v>180</v>
      </c>
      <c r="E97" s="41"/>
      <c r="F97" s="41">
        <f>40</f>
        <v>40</v>
      </c>
      <c r="G97" s="13" t="s">
        <v>144</v>
      </c>
      <c r="H97" s="41">
        <f>9462.2/F97</f>
        <v>236.55500000000001</v>
      </c>
      <c r="I97" s="57">
        <f>F97*H97</f>
        <v>9462.2000000000007</v>
      </c>
      <c r="J97" s="13" t="s">
        <v>116</v>
      </c>
      <c r="L97" s="2"/>
    </row>
    <row r="98" spans="1:12" ht="18.75" x14ac:dyDescent="0.25">
      <c r="A98" s="9"/>
      <c r="B98" s="5"/>
      <c r="C98" s="4"/>
      <c r="D98" s="15" t="s">
        <v>152</v>
      </c>
      <c r="E98" s="41"/>
      <c r="F98" s="41">
        <f>50</f>
        <v>50</v>
      </c>
      <c r="G98" s="13" t="s">
        <v>144</v>
      </c>
      <c r="H98" s="41">
        <f>9164.4/F98</f>
        <v>183.28799999999998</v>
      </c>
      <c r="I98" s="59">
        <f>F98*H98</f>
        <v>9164.4</v>
      </c>
      <c r="J98" s="13" t="s">
        <v>121</v>
      </c>
      <c r="L98" s="2"/>
    </row>
    <row r="99" spans="1:12" ht="31.5" x14ac:dyDescent="0.25">
      <c r="A99" s="9"/>
      <c r="B99" s="5"/>
      <c r="C99" s="4"/>
      <c r="D99" s="15" t="s">
        <v>128</v>
      </c>
      <c r="E99" s="41"/>
      <c r="F99" s="41">
        <f>8</f>
        <v>8</v>
      </c>
      <c r="G99" s="13" t="s">
        <v>31</v>
      </c>
      <c r="H99" s="41">
        <f>14041/F99</f>
        <v>1755.125</v>
      </c>
      <c r="I99" s="57">
        <f>F99*H99</f>
        <v>14041</v>
      </c>
      <c r="J99" s="13" t="s">
        <v>118</v>
      </c>
      <c r="L99" s="2"/>
    </row>
    <row r="100" spans="1:12" ht="18.75" x14ac:dyDescent="0.25">
      <c r="A100" s="9"/>
      <c r="B100" s="5"/>
      <c r="C100" s="4"/>
      <c r="D100" s="15" t="s">
        <v>107</v>
      </c>
      <c r="E100" s="32"/>
      <c r="F100" s="13">
        <f>5+1+1+1</f>
        <v>8</v>
      </c>
      <c r="G100" s="13" t="s">
        <v>54</v>
      </c>
      <c r="H100" s="33">
        <f>(875+170+170+172)/F100</f>
        <v>173.375</v>
      </c>
      <c r="I100" s="13">
        <f t="shared" ref="I100" si="3">F100*H100</f>
        <v>1387</v>
      </c>
      <c r="J100" s="13" t="s">
        <v>116</v>
      </c>
      <c r="L100" s="2"/>
    </row>
    <row r="101" spans="1:12" ht="56.25" x14ac:dyDescent="0.25">
      <c r="A101" s="9" t="s">
        <v>108</v>
      </c>
      <c r="B101" s="5"/>
      <c r="C101" s="4"/>
      <c r="D101" s="15" t="s">
        <v>125</v>
      </c>
      <c r="E101" s="32"/>
      <c r="F101" s="13">
        <f>12+12+12+12+12+12+12+12+12+12+12+12</f>
        <v>144</v>
      </c>
      <c r="G101" s="13" t="s">
        <v>109</v>
      </c>
      <c r="H101" s="33">
        <f>(527.4+527.4+2793.2+528.4+528.4+528.4+550.8+550.8+550.8+558+558+558)/F101</f>
        <v>60.830555555555549</v>
      </c>
      <c r="I101" s="13">
        <f>F101*H101</f>
        <v>8759.5999999999985</v>
      </c>
      <c r="J101" s="13" t="s">
        <v>116</v>
      </c>
      <c r="L101" s="2"/>
    </row>
    <row r="102" spans="1:12" ht="18.75" x14ac:dyDescent="0.25">
      <c r="A102" s="49"/>
      <c r="B102" s="22"/>
      <c r="C102" s="22"/>
      <c r="D102" s="30"/>
      <c r="E102" s="51"/>
      <c r="F102" s="52"/>
      <c r="G102" s="31"/>
      <c r="H102" s="31"/>
      <c r="I102" s="13">
        <f>SUM(I97:I101)</f>
        <v>42814.2</v>
      </c>
      <c r="J102" s="13"/>
      <c r="L102" s="2"/>
    </row>
    <row r="103" spans="1:12" ht="18.75" x14ac:dyDescent="0.25">
      <c r="A103" s="77" t="s">
        <v>91</v>
      </c>
      <c r="B103" s="78"/>
      <c r="C103" s="78"/>
      <c r="D103" s="78"/>
      <c r="E103" s="78"/>
      <c r="F103" s="78"/>
      <c r="G103" s="79"/>
      <c r="H103" s="12"/>
      <c r="I103" s="5"/>
      <c r="J103" s="13"/>
      <c r="L103" s="2"/>
    </row>
    <row r="104" spans="1:12" ht="18.75" x14ac:dyDescent="0.25">
      <c r="A104" s="26"/>
      <c r="B104" s="27"/>
      <c r="C104" s="27"/>
      <c r="D104" s="36" t="s">
        <v>117</v>
      </c>
      <c r="E104" s="41" t="s">
        <v>140</v>
      </c>
      <c r="F104" s="41">
        <f>1+1</f>
        <v>2</v>
      </c>
      <c r="G104" s="38" t="s">
        <v>31</v>
      </c>
      <c r="H104" s="41">
        <f>(1014.4+1023.8)/F104</f>
        <v>1019.0999999999999</v>
      </c>
      <c r="I104" s="57">
        <f>F104*H104</f>
        <v>2038.1999999999998</v>
      </c>
      <c r="J104" s="13"/>
      <c r="L104" s="2"/>
    </row>
    <row r="105" spans="1:12" ht="63" x14ac:dyDescent="0.25">
      <c r="A105" s="9" t="s">
        <v>89</v>
      </c>
      <c r="B105" s="22"/>
      <c r="C105" s="22"/>
      <c r="D105" s="23" t="s">
        <v>119</v>
      </c>
      <c r="E105" s="37">
        <v>103</v>
      </c>
      <c r="F105" s="13">
        <v>103</v>
      </c>
      <c r="G105" s="31" t="s">
        <v>90</v>
      </c>
      <c r="H105" s="31">
        <v>4.8</v>
      </c>
      <c r="I105" s="13">
        <f>F105*H105*12</f>
        <v>5932.7999999999993</v>
      </c>
      <c r="J105" s="13" t="s">
        <v>116</v>
      </c>
      <c r="L105" s="2"/>
    </row>
    <row r="106" spans="1:12" ht="18.75" x14ac:dyDescent="0.25">
      <c r="A106" s="49"/>
      <c r="B106" s="22"/>
      <c r="C106" s="22"/>
      <c r="D106" s="30"/>
      <c r="E106" s="51"/>
      <c r="F106" s="52"/>
      <c r="G106" s="31"/>
      <c r="H106" s="31"/>
      <c r="I106" s="33">
        <f>SUM(I105)</f>
        <v>5932.7999999999993</v>
      </c>
      <c r="J106" s="13"/>
      <c r="L106" s="2"/>
    </row>
    <row r="107" spans="1:12" ht="18.75" x14ac:dyDescent="0.3">
      <c r="A107" s="70" t="s">
        <v>79</v>
      </c>
      <c r="B107" s="71"/>
      <c r="C107" s="71"/>
      <c r="D107" s="71"/>
      <c r="E107" s="71"/>
      <c r="F107" s="71"/>
      <c r="G107" s="72"/>
      <c r="H107" s="19"/>
      <c r="I107" s="5"/>
      <c r="J107" s="13"/>
      <c r="L107" s="2"/>
    </row>
    <row r="108" spans="1:12" ht="46.5" customHeight="1" x14ac:dyDescent="0.3">
      <c r="A108" s="34" t="s">
        <v>132</v>
      </c>
      <c r="B108" s="24"/>
      <c r="C108" s="24"/>
      <c r="D108" s="46" t="s">
        <v>162</v>
      </c>
      <c r="E108" s="31">
        <v>16</v>
      </c>
      <c r="F108" s="31">
        <v>16</v>
      </c>
      <c r="G108" s="13" t="s">
        <v>139</v>
      </c>
      <c r="H108" s="31">
        <v>76.900000000000006</v>
      </c>
      <c r="I108" s="31">
        <f>F108*H108*4</f>
        <v>4921.6000000000004</v>
      </c>
      <c r="J108" s="13" t="s">
        <v>116</v>
      </c>
      <c r="L108" s="2"/>
    </row>
    <row r="109" spans="1:12" ht="46.5" customHeight="1" x14ac:dyDescent="0.3">
      <c r="A109" s="34"/>
      <c r="B109" s="24"/>
      <c r="C109" s="44"/>
      <c r="D109" s="35" t="s">
        <v>131</v>
      </c>
      <c r="E109" s="31">
        <v>32</v>
      </c>
      <c r="F109" s="31">
        <v>32</v>
      </c>
      <c r="G109" s="13" t="s">
        <v>139</v>
      </c>
      <c r="H109" s="31">
        <v>26</v>
      </c>
      <c r="I109" s="31">
        <f>F109*H109*4</f>
        <v>3328</v>
      </c>
      <c r="J109" s="13" t="s">
        <v>116</v>
      </c>
      <c r="L109" s="2"/>
    </row>
    <row r="110" spans="1:12" ht="46.5" customHeight="1" x14ac:dyDescent="0.3">
      <c r="A110" s="34"/>
      <c r="B110" s="24"/>
      <c r="C110" s="47"/>
      <c r="D110" s="46" t="s">
        <v>191</v>
      </c>
      <c r="E110" s="41"/>
      <c r="F110" s="41">
        <v>1</v>
      </c>
      <c r="G110" s="13" t="s">
        <v>113</v>
      </c>
      <c r="H110" s="41">
        <f>9964.2/F110</f>
        <v>9964.2000000000007</v>
      </c>
      <c r="I110" s="57">
        <f>F110*H110</f>
        <v>9964.2000000000007</v>
      </c>
      <c r="J110" s="13" t="s">
        <v>168</v>
      </c>
      <c r="L110" s="2"/>
    </row>
    <row r="111" spans="1:12" ht="18.75" x14ac:dyDescent="0.25">
      <c r="A111" s="9" t="s">
        <v>25</v>
      </c>
      <c r="B111" s="5"/>
      <c r="C111" s="4"/>
      <c r="D111" s="4" t="s">
        <v>75</v>
      </c>
      <c r="E111" s="41" t="s">
        <v>140</v>
      </c>
      <c r="F111" s="41" t="s">
        <v>140</v>
      </c>
      <c r="G111" s="14" t="s">
        <v>54</v>
      </c>
      <c r="H111" s="41" t="s">
        <v>140</v>
      </c>
      <c r="I111" s="41" t="s">
        <v>140</v>
      </c>
      <c r="J111" s="13"/>
      <c r="L111" s="2"/>
    </row>
    <row r="112" spans="1:12" ht="47.25" x14ac:dyDescent="0.25">
      <c r="A112" s="9" t="s">
        <v>26</v>
      </c>
      <c r="B112" s="5"/>
      <c r="C112" s="4"/>
      <c r="D112" s="15" t="s">
        <v>28</v>
      </c>
      <c r="E112" s="41" t="s">
        <v>140</v>
      </c>
      <c r="F112" s="41" t="s">
        <v>140</v>
      </c>
      <c r="G112" s="14" t="s">
        <v>54</v>
      </c>
      <c r="H112" s="41" t="s">
        <v>140</v>
      </c>
      <c r="I112" s="41" t="s">
        <v>140</v>
      </c>
      <c r="J112" s="13"/>
      <c r="L112" s="2"/>
    </row>
    <row r="113" spans="1:12" ht="31.5" x14ac:dyDescent="0.25">
      <c r="A113" s="9" t="s">
        <v>27</v>
      </c>
      <c r="B113" s="5"/>
      <c r="C113" s="4"/>
      <c r="D113" s="15" t="s">
        <v>74</v>
      </c>
      <c r="E113" s="41" t="s">
        <v>140</v>
      </c>
      <c r="F113" s="41" t="s">
        <v>140</v>
      </c>
      <c r="G113" s="14" t="s">
        <v>54</v>
      </c>
      <c r="H113" s="41" t="s">
        <v>140</v>
      </c>
      <c r="I113" s="41" t="s">
        <v>140</v>
      </c>
      <c r="J113" s="13"/>
      <c r="L113" s="2"/>
    </row>
    <row r="114" spans="1:12" ht="18.75" x14ac:dyDescent="0.25">
      <c r="A114" s="49"/>
      <c r="B114" s="22"/>
      <c r="C114" s="22"/>
      <c r="D114" s="30"/>
      <c r="E114" s="48"/>
      <c r="F114" s="48"/>
      <c r="G114" s="12"/>
      <c r="H114" s="62"/>
      <c r="I114" s="63">
        <f>SUM(I108:I113)</f>
        <v>18213.800000000003</v>
      </c>
      <c r="J114" s="13"/>
      <c r="L114" s="2"/>
    </row>
    <row r="115" spans="1:12" ht="18.75" x14ac:dyDescent="0.3">
      <c r="A115" s="70" t="s">
        <v>84</v>
      </c>
      <c r="B115" s="71"/>
      <c r="C115" s="71"/>
      <c r="D115" s="71"/>
      <c r="E115" s="71"/>
      <c r="F115" s="71"/>
      <c r="G115" s="72"/>
      <c r="H115" s="25"/>
      <c r="I115" s="25"/>
      <c r="J115" s="25"/>
      <c r="K115" s="2"/>
      <c r="L115" s="2"/>
    </row>
    <row r="116" spans="1:12" ht="48" x14ac:dyDescent="0.3">
      <c r="A116" s="6" t="s">
        <v>66</v>
      </c>
      <c r="B116" s="6"/>
      <c r="C116" s="4"/>
      <c r="D116" s="15" t="s">
        <v>85</v>
      </c>
      <c r="E116" s="41"/>
      <c r="F116" s="41"/>
      <c r="G116" s="13" t="s">
        <v>113</v>
      </c>
      <c r="H116" s="41"/>
      <c r="I116" s="45"/>
      <c r="J116" s="13"/>
      <c r="L116" s="2"/>
    </row>
    <row r="117" spans="1:12" ht="32.25" x14ac:dyDescent="0.3">
      <c r="A117" s="28"/>
      <c r="B117" s="29"/>
      <c r="C117" s="22"/>
      <c r="D117" s="30" t="s">
        <v>110</v>
      </c>
      <c r="E117" s="41">
        <v>1</v>
      </c>
      <c r="F117" s="41">
        <v>1</v>
      </c>
      <c r="G117" s="13" t="s">
        <v>111</v>
      </c>
      <c r="H117" s="41">
        <v>4840</v>
      </c>
      <c r="I117" s="45">
        <f>F117*H117</f>
        <v>4840</v>
      </c>
      <c r="J117" s="39" t="s">
        <v>118</v>
      </c>
      <c r="L117" s="2"/>
    </row>
    <row r="118" spans="1:12" ht="18.75" x14ac:dyDescent="0.3">
      <c r="A118" s="28"/>
      <c r="B118" s="29"/>
      <c r="C118" s="22"/>
      <c r="D118" s="30"/>
      <c r="E118" s="48"/>
      <c r="F118" s="48"/>
      <c r="G118" s="31"/>
      <c r="H118" s="48"/>
      <c r="I118" s="54">
        <f>SUM(I116:I117)</f>
        <v>4840</v>
      </c>
      <c r="J118" s="53"/>
      <c r="L118" s="2"/>
    </row>
    <row r="119" spans="1:12" ht="18.75" x14ac:dyDescent="0.3">
      <c r="A119" s="70" t="s">
        <v>99</v>
      </c>
      <c r="B119" s="71"/>
      <c r="C119" s="71"/>
      <c r="D119" s="71"/>
      <c r="E119" s="71"/>
      <c r="F119" s="71"/>
      <c r="G119" s="72"/>
      <c r="H119" s="70"/>
      <c r="I119" s="71"/>
      <c r="J119" s="71"/>
      <c r="L119" s="2"/>
    </row>
    <row r="120" spans="1:12" ht="32.25" x14ac:dyDescent="0.3">
      <c r="A120" s="34" t="s">
        <v>145</v>
      </c>
      <c r="B120" s="24"/>
      <c r="C120" s="24"/>
      <c r="D120" s="40" t="s">
        <v>134</v>
      </c>
      <c r="E120" s="13"/>
      <c r="F120" s="13"/>
      <c r="G120" s="13" t="s">
        <v>135</v>
      </c>
      <c r="H120" s="13"/>
      <c r="I120" s="58"/>
      <c r="J120" s="13"/>
      <c r="L120" s="2"/>
    </row>
    <row r="121" spans="1:12" ht="48" x14ac:dyDescent="0.3">
      <c r="A121" s="24"/>
      <c r="B121" s="24"/>
      <c r="C121" s="24"/>
      <c r="D121" s="40" t="s">
        <v>136</v>
      </c>
      <c r="E121" s="41"/>
      <c r="F121" s="41"/>
      <c r="G121" s="13" t="s">
        <v>137</v>
      </c>
      <c r="H121" s="41"/>
      <c r="I121" s="57"/>
      <c r="J121" s="13"/>
      <c r="L121" s="2"/>
    </row>
    <row r="122" spans="1:12" ht="32.25" x14ac:dyDescent="0.3">
      <c r="A122" s="24"/>
      <c r="B122" s="24"/>
      <c r="C122" s="24"/>
      <c r="D122" s="40" t="s">
        <v>169</v>
      </c>
      <c r="E122" s="13"/>
      <c r="F122" s="13"/>
      <c r="G122" s="13" t="s">
        <v>138</v>
      </c>
      <c r="H122" s="13"/>
      <c r="I122" s="58"/>
      <c r="J122" s="13"/>
      <c r="L122" s="2"/>
    </row>
    <row r="123" spans="1:12" ht="32.25" x14ac:dyDescent="0.3">
      <c r="A123" s="24"/>
      <c r="B123" s="24"/>
      <c r="C123" s="24"/>
      <c r="D123" s="40" t="s">
        <v>170</v>
      </c>
      <c r="E123" s="13"/>
      <c r="F123" s="13">
        <f>20+15</f>
        <v>35</v>
      </c>
      <c r="G123" s="13" t="s">
        <v>138</v>
      </c>
      <c r="H123" s="33">
        <f>(917+687)/F123</f>
        <v>45.828571428571429</v>
      </c>
      <c r="I123" s="58">
        <f t="shared" ref="I123" si="4">F123*H123</f>
        <v>1604</v>
      </c>
      <c r="J123" s="13" t="s">
        <v>124</v>
      </c>
      <c r="L123" s="2"/>
    </row>
    <row r="124" spans="1:12" ht="18.75" x14ac:dyDescent="0.3">
      <c r="A124" s="24"/>
      <c r="B124" s="24"/>
      <c r="C124" s="24"/>
      <c r="D124" s="46" t="s">
        <v>181</v>
      </c>
      <c r="E124" s="41" t="s">
        <v>140</v>
      </c>
      <c r="F124" s="41">
        <v>12</v>
      </c>
      <c r="G124" s="13" t="s">
        <v>31</v>
      </c>
      <c r="H124" s="45"/>
      <c r="I124" s="57">
        <f>F124*H124</f>
        <v>0</v>
      </c>
      <c r="J124" s="13" t="s">
        <v>121</v>
      </c>
      <c r="L124" s="2"/>
    </row>
    <row r="125" spans="1:12" ht="18.75" x14ac:dyDescent="0.3">
      <c r="A125" s="34" t="s">
        <v>150</v>
      </c>
      <c r="B125" s="14"/>
      <c r="C125" s="14"/>
      <c r="D125" s="40" t="s">
        <v>172</v>
      </c>
      <c r="E125" s="41" t="s">
        <v>140</v>
      </c>
      <c r="F125" s="41">
        <f>1</f>
        <v>1</v>
      </c>
      <c r="G125" s="13" t="s">
        <v>31</v>
      </c>
      <c r="H125" s="41"/>
      <c r="I125" s="57">
        <f>F125*H125</f>
        <v>0</v>
      </c>
      <c r="J125" s="14" t="s">
        <v>118</v>
      </c>
      <c r="L125" s="2"/>
    </row>
    <row r="126" spans="1:12" ht="18.75" x14ac:dyDescent="0.3">
      <c r="A126" s="34"/>
      <c r="B126" s="14"/>
      <c r="C126" s="14"/>
      <c r="D126" s="40"/>
      <c r="E126" s="41"/>
      <c r="F126" s="41"/>
      <c r="G126" s="13"/>
      <c r="H126" s="41"/>
      <c r="I126" s="41">
        <f>SUM(I120:I125)</f>
        <v>1604</v>
      </c>
      <c r="J126" s="14"/>
      <c r="L126" s="2"/>
    </row>
    <row r="127" spans="1:12" ht="18.75" x14ac:dyDescent="0.3">
      <c r="A127" s="60" t="s">
        <v>182</v>
      </c>
      <c r="B127" s="14"/>
      <c r="C127" s="14"/>
      <c r="D127" s="43"/>
      <c r="E127" s="14"/>
      <c r="F127" s="14"/>
      <c r="G127" s="38"/>
      <c r="H127" s="14"/>
      <c r="I127" s="61">
        <f>I6+I21+I22+I20+I23+I24+I29+I39+I40+I42+I43+I45+I46+I47+I48+I49+I51+I62+I63+I64+I65+I66+I68+I70+I71+I97+I98+I99+I104+I110+I120+I121+I122+I123+I124+I125</f>
        <v>364426.60000000009</v>
      </c>
      <c r="J127" s="14"/>
      <c r="L127" s="2"/>
    </row>
    <row r="128" spans="1:12" ht="15.75" x14ac:dyDescent="0.25">
      <c r="A128" s="55" t="s">
        <v>167</v>
      </c>
      <c r="B128" s="25"/>
      <c r="C128" s="25"/>
      <c r="D128" s="43"/>
      <c r="E128" s="13"/>
      <c r="F128" s="13"/>
      <c r="G128" s="38"/>
      <c r="H128" s="13"/>
      <c r="I128" s="56">
        <f>I16+I36+I57+I74+I86+I93+I102+I106+I114+I118+I126</f>
        <v>531071.10000000009</v>
      </c>
      <c r="J128" s="14"/>
      <c r="K128" s="2"/>
      <c r="L128" s="2"/>
    </row>
    <row r="129" spans="1:12" ht="99.75" customHeight="1" x14ac:dyDescent="0.25">
      <c r="A129" s="67" t="s">
        <v>106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2"/>
      <c r="L129" s="2"/>
    </row>
    <row r="130" spans="1:12" ht="15.75" x14ac:dyDescent="0.25">
      <c r="A130" s="2"/>
      <c r="B130" s="2"/>
      <c r="C130" s="2"/>
      <c r="D130" s="16"/>
      <c r="E130" s="16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6"/>
      <c r="E131" s="16"/>
      <c r="F131" s="2"/>
      <c r="G131" s="64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64"/>
      <c r="H132" s="2"/>
      <c r="I132" s="64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64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64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</sheetData>
  <mergeCells count="16">
    <mergeCell ref="A129:J129"/>
    <mergeCell ref="A2:J2"/>
    <mergeCell ref="A119:G119"/>
    <mergeCell ref="H119:J119"/>
    <mergeCell ref="I1:J1"/>
    <mergeCell ref="A82:G82"/>
    <mergeCell ref="A94:G94"/>
    <mergeCell ref="A115:G115"/>
    <mergeCell ref="A37:G37"/>
    <mergeCell ref="A17:G17"/>
    <mergeCell ref="A4:G4"/>
    <mergeCell ref="A103:G103"/>
    <mergeCell ref="A58:G58"/>
    <mergeCell ref="A75:G75"/>
    <mergeCell ref="A87:G87"/>
    <mergeCell ref="A107:G107"/>
  </mergeCells>
  <pageMargins left="0.78740157480314965" right="0.70866141732283472" top="0" bottom="0.19685039370078741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2025-01-29T11:06:24Z</cp:lastPrinted>
  <dcterms:created xsi:type="dcterms:W3CDTF">2017-05-29T12:14:13Z</dcterms:created>
  <dcterms:modified xsi:type="dcterms:W3CDTF">2025-03-14T04:44:07Z</dcterms:modified>
</cp:coreProperties>
</file>