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9" i="1" l="1"/>
  <c r="H78" i="1" l="1"/>
  <c r="I78" i="1" s="1"/>
  <c r="F15" i="1"/>
  <c r="F103" i="1"/>
  <c r="H103" i="1" s="1"/>
  <c r="F102" i="1"/>
  <c r="H102" i="1" s="1"/>
  <c r="H86" i="1"/>
  <c r="F60" i="1"/>
  <c r="H60" i="1" s="1"/>
  <c r="H57" i="1"/>
  <c r="H15" i="1" l="1"/>
  <c r="I15" i="1" s="1"/>
  <c r="F32" i="1"/>
  <c r="H32" i="1" s="1"/>
  <c r="H61" i="1"/>
  <c r="I61" i="1" s="1"/>
  <c r="F47" i="1" l="1"/>
  <c r="H5" i="1"/>
  <c r="I5" i="1" s="1"/>
  <c r="F82" i="1"/>
  <c r="H82" i="1" s="1"/>
  <c r="F91" i="1"/>
  <c r="H91" i="1" s="1"/>
  <c r="H56" i="1"/>
  <c r="H47" i="1" l="1"/>
  <c r="I47" i="1" s="1"/>
  <c r="F30" i="1"/>
  <c r="H30" i="1" s="1"/>
  <c r="F29" i="1"/>
  <c r="H29" i="1" s="1"/>
  <c r="F42" i="1"/>
  <c r="H42" i="1" s="1"/>
  <c r="I30" i="1" l="1"/>
  <c r="F98" i="1"/>
  <c r="H98" i="1" s="1"/>
  <c r="F100" i="1"/>
  <c r="I82" i="1"/>
  <c r="F66" i="1"/>
  <c r="H66" i="1" s="1"/>
  <c r="I66" i="1" l="1"/>
  <c r="H100" i="1"/>
  <c r="I100" i="1" s="1"/>
  <c r="I98" i="1"/>
  <c r="H126" i="1"/>
  <c r="F65" i="1"/>
  <c r="H65" i="1" s="1"/>
  <c r="F64" i="1"/>
  <c r="H64" i="1" s="1"/>
  <c r="F101" i="1"/>
  <c r="H101" i="1" s="1"/>
  <c r="H62" i="1"/>
  <c r="H59" i="1"/>
  <c r="F21" i="1"/>
  <c r="H21" i="1" s="1"/>
  <c r="H23" i="1"/>
  <c r="I23" i="1" s="1"/>
  <c r="F22" i="1"/>
  <c r="H22" i="1" s="1"/>
  <c r="F24" i="1"/>
  <c r="H24" i="1" s="1"/>
  <c r="I29" i="1"/>
  <c r="H16" i="1"/>
  <c r="F90" i="1"/>
  <c r="H90" i="1" s="1"/>
  <c r="F87" i="1"/>
  <c r="H87" i="1" s="1"/>
  <c r="I21" i="1" l="1"/>
  <c r="I64" i="1"/>
  <c r="I22" i="1"/>
  <c r="F117" i="1"/>
  <c r="H117" i="1" s="1"/>
  <c r="F89" i="1"/>
  <c r="H89" i="1" s="1"/>
  <c r="F88" i="1"/>
  <c r="H88" i="1" s="1"/>
  <c r="H79" i="1"/>
  <c r="I79" i="1" s="1"/>
  <c r="F124" i="1"/>
  <c r="H124" i="1" s="1"/>
  <c r="H7" i="1"/>
  <c r="F6" i="1"/>
  <c r="H6" i="1" s="1"/>
  <c r="I89" i="1" l="1"/>
  <c r="I88" i="1"/>
  <c r="F41" i="1"/>
  <c r="I7" i="1"/>
  <c r="I84" i="1"/>
  <c r="I60" i="1"/>
  <c r="H41" i="1" l="1"/>
  <c r="I41" i="1" s="1"/>
  <c r="I56" i="1"/>
  <c r="F127" i="1" l="1"/>
  <c r="F58" i="1"/>
  <c r="H58" i="1" s="1"/>
  <c r="I24" i="1" l="1"/>
  <c r="I32" i="1" l="1"/>
  <c r="I87" i="1"/>
  <c r="I39" i="1" l="1"/>
  <c r="I124" i="1"/>
  <c r="I42" i="1" l="1"/>
  <c r="I117" i="1"/>
  <c r="I90" i="1"/>
  <c r="I65" i="1"/>
  <c r="I6" i="1"/>
  <c r="I16" i="1"/>
  <c r="I91" i="1"/>
  <c r="I86" i="1"/>
  <c r="I111" i="1"/>
  <c r="I110" i="1"/>
  <c r="I53" i="1" l="1"/>
  <c r="I115" i="1"/>
  <c r="I17" i="1"/>
  <c r="I126" i="1"/>
  <c r="I127" i="1"/>
  <c r="I94" i="1"/>
  <c r="I101" i="1" l="1"/>
  <c r="I62" i="1"/>
  <c r="I103" i="1" l="1"/>
  <c r="I118" i="1"/>
  <c r="I119" i="1" s="1"/>
  <c r="I93" i="1"/>
  <c r="I96" i="1" s="1"/>
  <c r="I57" i="1" l="1"/>
  <c r="I59" i="1" l="1"/>
  <c r="I58" i="1"/>
  <c r="I102" i="1"/>
  <c r="I104" i="1" s="1"/>
  <c r="I69" i="1" l="1"/>
  <c r="I107" i="1"/>
  <c r="I108" i="1" s="1"/>
  <c r="I128" i="1" l="1"/>
  <c r="I130" i="1" s="1"/>
</calcChain>
</file>

<file path=xl/sharedStrings.xml><?xml version="1.0" encoding="utf-8"?>
<sst xmlns="http://schemas.openxmlformats.org/spreadsheetml/2006/main" count="468" uniqueCount="198">
  <si>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</si>
  <si>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</si>
  <si>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</si>
  <si>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</si>
  <si>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</si>
  <si>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</si>
  <si>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</si>
  <si>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</si>
  <si>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</si>
  <si>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</si>
  <si>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</si>
  <si>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</si>
  <si>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</si>
  <si>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</si>
  <si>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</si>
  <si>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</si>
  <si>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</si>
  <si>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</si>
  <si>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</si>
  <si>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</si>
  <si>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</si>
  <si>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</si>
  <si>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</si>
  <si>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</si>
  <si>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</si>
  <si>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</si>
  <si>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</si>
  <si>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</si>
  <si>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</si>
  <si>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</si>
  <si>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</si>
  <si>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</si>
  <si>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</si>
  <si>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</si>
  <si>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</si>
  <si>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</si>
  <si>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</si>
  <si>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</si>
  <si>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</si>
  <si>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</si>
  <si>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</si>
  <si>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</si>
  <si>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</si>
  <si>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</si>
  <si>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</si>
  <si>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</si>
  <si>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</si>
  <si>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</si>
  <si>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</si>
  <si>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</si>
  <si>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</si>
  <si>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</si>
  <si>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</si>
  <si>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</si>
  <si>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</si>
  <si>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</si>
  <si>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</si>
  <si>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</si>
  <si>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</si>
  <si>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</si>
  <si>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</si>
  <si>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</si>
  <si>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</si>
  <si>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</si>
  <si>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</si>
  <si>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</si>
  <si>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</si>
  <si>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</si>
  <si>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</si>
  <si>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</si>
  <si>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</si>
  <si>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</si>
  <si>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</si>
  <si>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</si>
  <si>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</si>
  <si>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</si>
  <si>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</si>
  <si>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</si>
  <si>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</si>
  <si>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</si>
  <si>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</si>
  <si>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</si>
  <si>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</si>
  <si>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</si>
  <si>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</si>
  <si>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</si>
  <si>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</si>
  <si>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</si>
  <si>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</si>
  <si>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</si>
  <si>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</si>
  <si>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</si>
  <si>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</si>
  <si>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</si>
  <si>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</si>
  <si>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</si>
  <si>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</si>
  <si>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</si>
  <si>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</si>
  <si>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</si>
  <si>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</si>
  <si>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</si>
  <si>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</si>
  <si>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</si>
  <si>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</si>
  <si>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</si>
  <si>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</si>
  <si>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</si>
  <si>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</si>
  <si>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</si>
  <si>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</si>
  <si>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</si>
  <si>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</si>
  <si>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</si>
  <si>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</si>
  <si>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</si>
  <si>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</si>
  <si>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</si>
  <si>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</si>
  <si>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</si>
  <si>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</si>
  <si>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</si>
  <si>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</si>
  <si>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</si>
  <si>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</si>
  <si>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</si>
  <si>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</si>
  <si>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</si>
  <si>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</si>
  <si>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</si>
  <si>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</si>
  <si>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</si>
  <si>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</si>
  <si>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</si>
  <si>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</si>
  <si>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</si>
  <si>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</si>
  <si>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</si>
  <si>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</si>
  <si>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</si>
  <si>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</si>
  <si>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</si>
  <si>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</si>
  <si>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</si>
  <si>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благоустройство</t>
  </si>
  <si>
    <t>1 квартал</t>
  </si>
  <si>
    <t>установка насосов</t>
  </si>
  <si>
    <t>сгон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</si>
  <si>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</si>
  <si>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</si>
  <si>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установка хомутов диаметром трубопроводов до 100мм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</si>
  <si>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</si>
  <si>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</si>
  <si>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</si>
  <si>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ремонт штукатурки гладких фасадов по камню и бетону</t>
  </si>
  <si>
    <t>смена сгонов у трубопроводов диам. 32мм</t>
  </si>
  <si>
    <t>смена ламп накаливания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</si>
  <si>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</si>
  <si>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</si>
  <si>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</si>
  <si>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</si>
  <si>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смена сгонов у трубопроводов диам. 20мм</t>
  </si>
  <si>
    <t>ремонт межпанельных швов без вскрытия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</si>
  <si>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</si>
  <si>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</si>
  <si>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</si>
  <si>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</si>
  <si>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</si>
  <si>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</si>
  <si>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 xml:space="preserve">восстановление и окраска элементов крылец;замена плиток </t>
  </si>
  <si>
    <t xml:space="preserve"> смена кранов на шаровые краны диам.15,25,32мм</t>
  </si>
  <si>
    <t>ремонт и восстановление уплотнения стыков прокладками ПРП в 1 ряд насухо</t>
  </si>
  <si>
    <t>4 квартад</t>
  </si>
  <si>
    <t>механизированная уборка снега на придомовой территории JSB</t>
  </si>
  <si>
    <t>механизированная уборка снега на придомовой территории МТЗ</t>
  </si>
  <si>
    <t>разборка трубопроводов из чугунных канализационных труб диаметром 100мм</t>
  </si>
  <si>
    <t>прокладка трубопроводов канализации из полиэтиленовых труб высокой плотности диаметром 110мм</t>
  </si>
  <si>
    <t>чистка крыши от снега</t>
  </si>
  <si>
    <t>простая масляная окраска ранее окрашенных фасадов без подготовки с земли или лесов</t>
  </si>
  <si>
    <t>справка о техническом состоянии здания</t>
  </si>
  <si>
    <t>проверка на прогрев отопительных приборов с регулировкой</t>
  </si>
  <si>
    <t>Всего:</t>
  </si>
  <si>
    <t>Текущий ремонт</t>
  </si>
  <si>
    <t>разборка трубопроводов из чугунных канализационных труб диаметром 50мм</t>
  </si>
  <si>
    <t>прокладка трубопроводов канализации из полиэтиленовых труб высокой плотности диаметром 50мм</t>
  </si>
  <si>
    <t>огрунтовка ранее окрашенных фасадов под окраску</t>
  </si>
  <si>
    <t>шпатлевка ранее окрашенных фасадов под окраску</t>
  </si>
  <si>
    <t>вывоз веток ,листвы и порубочных остатков</t>
  </si>
  <si>
    <t>смена задвижек на шаровые краны диам. 100мм</t>
  </si>
  <si>
    <t xml:space="preserve"> смена вентилей  на шаровые краны диам.20мм</t>
  </si>
  <si>
    <t>устройство пандуса для спуска коляски для инвалида</t>
  </si>
  <si>
    <t>выполнение работ по проведению очистки кровли от снега и наледи</t>
  </si>
  <si>
    <t>алюминиевый откидной пандус повышенной прочности</t>
  </si>
  <si>
    <t>слив и наполнение водой системы отопления без осмотра системы</t>
  </si>
  <si>
    <t>м3 объема здания</t>
  </si>
  <si>
    <t>ремонт дверного доводчика</t>
  </si>
  <si>
    <t>смена ухватов для водосточных труб</t>
  </si>
  <si>
    <t xml:space="preserve">
Отчет о выполнении работ по текущему ремонту общего имущества 
в многоквартирном доме по адресу: г.Щёлково, ул.Парковая, дом 3а  на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</si>
</sst>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8" fillId="2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tabSelected="1" topLeftCell="D1" zoomScale="91" zoomScaleNormal="91" workbookViewId="0">
      <selection activeCell="F133" sqref="F133:J13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4" t="s">
        <v>96</v>
      </c>
      <c r="J1" s="74"/>
    </row>
    <row r="2" spans="1:12" ht="70.5" customHeight="1" x14ac:dyDescent="0.25">
      <c r="A2" s="69" t="s">
        <v>197</v>
      </c>
      <c r="B2" s="70"/>
      <c r="C2" s="70"/>
      <c r="D2" s="70"/>
      <c r="E2" s="70"/>
      <c r="F2" s="70"/>
      <c r="G2" s="70"/>
      <c r="H2" s="70"/>
      <c r="I2" s="70"/>
      <c r="J2" s="70"/>
      <c r="K2" s="2"/>
      <c r="L2" s="2"/>
    </row>
    <row r="3" spans="1:12" ht="75" x14ac:dyDescent="0.25">
      <c r="A3" s="20" t="s">
        <v>81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80</v>
      </c>
      <c r="H3" s="21" t="s">
        <v>79</v>
      </c>
      <c r="I3" s="21" t="s">
        <v>101</v>
      </c>
      <c r="J3" s="21" t="s">
        <v>103</v>
      </c>
      <c r="K3" s="2"/>
      <c r="L3" s="2"/>
    </row>
    <row r="4" spans="1:12" ht="18.75" x14ac:dyDescent="0.3">
      <c r="A4" s="75" t="s">
        <v>87</v>
      </c>
      <c r="B4" s="76"/>
      <c r="C4" s="76"/>
      <c r="D4" s="76"/>
      <c r="E4" s="76"/>
      <c r="F4" s="76"/>
      <c r="G4" s="77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163</v>
      </c>
      <c r="E5" s="41"/>
      <c r="F5" s="41">
        <v>1</v>
      </c>
      <c r="G5" s="13" t="s">
        <v>141</v>
      </c>
      <c r="H5" s="41">
        <f>165025/F5</f>
        <v>165025</v>
      </c>
      <c r="I5" s="66">
        <f>F5*H5</f>
        <v>165025</v>
      </c>
      <c r="J5" s="13" t="s">
        <v>120</v>
      </c>
      <c r="K5" s="2"/>
      <c r="L5" s="2"/>
    </row>
    <row r="6" spans="1:12" ht="18.75" x14ac:dyDescent="0.3">
      <c r="A6" s="6"/>
      <c r="B6" s="5"/>
      <c r="C6" s="4"/>
      <c r="D6" s="15" t="s">
        <v>177</v>
      </c>
      <c r="E6" s="41"/>
      <c r="F6" s="41">
        <f>228+228</f>
        <v>456</v>
      </c>
      <c r="G6" s="13" t="s">
        <v>113</v>
      </c>
      <c r="H6" s="41">
        <f>(9120+9120)/F6</f>
        <v>40</v>
      </c>
      <c r="I6" s="59">
        <f>F6*H6</f>
        <v>18240</v>
      </c>
      <c r="J6" s="13" t="s">
        <v>122</v>
      </c>
      <c r="K6" s="2"/>
      <c r="L6" s="2"/>
    </row>
    <row r="7" spans="1:12" ht="32.25" x14ac:dyDescent="0.3">
      <c r="A7" s="6"/>
      <c r="B7" s="5"/>
      <c r="C7" s="4"/>
      <c r="D7" s="15" t="s">
        <v>191</v>
      </c>
      <c r="E7" s="41"/>
      <c r="F7" s="41">
        <v>1</v>
      </c>
      <c r="G7" s="13" t="s">
        <v>141</v>
      </c>
      <c r="H7" s="46">
        <f>10000/F7</f>
        <v>10000</v>
      </c>
      <c r="I7" s="59">
        <f>F7*H7</f>
        <v>10000</v>
      </c>
      <c r="J7" s="13" t="s">
        <v>120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148</v>
      </c>
      <c r="E8" s="41" t="s">
        <v>138</v>
      </c>
      <c r="F8" s="41" t="s">
        <v>138</v>
      </c>
      <c r="G8" s="13" t="s">
        <v>30</v>
      </c>
      <c r="H8" s="41"/>
      <c r="I8" s="41" t="s">
        <v>138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38</v>
      </c>
      <c r="E9" s="41" t="s">
        <v>138</v>
      </c>
      <c r="F9" s="41" t="s">
        <v>138</v>
      </c>
      <c r="G9" s="13" t="s">
        <v>30</v>
      </c>
      <c r="H9" s="41"/>
      <c r="I9" s="41" t="s">
        <v>138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37</v>
      </c>
      <c r="E10" s="41" t="s">
        <v>138</v>
      </c>
      <c r="F10" s="41" t="s">
        <v>138</v>
      </c>
      <c r="G10" s="13" t="s">
        <v>30</v>
      </c>
      <c r="H10" s="41"/>
      <c r="I10" s="41" t="s">
        <v>138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36</v>
      </c>
      <c r="E11" s="41" t="s">
        <v>138</v>
      </c>
      <c r="F11" s="41" t="s">
        <v>138</v>
      </c>
      <c r="G11" s="13" t="s">
        <v>30</v>
      </c>
      <c r="H11" s="41"/>
      <c r="I11" s="41" t="s">
        <v>138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86</v>
      </c>
      <c r="E12" s="41" t="s">
        <v>138</v>
      </c>
      <c r="F12" s="41" t="s">
        <v>138</v>
      </c>
      <c r="G12" s="13" t="s">
        <v>31</v>
      </c>
      <c r="H12" s="41"/>
      <c r="I12" s="41" t="s">
        <v>138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35</v>
      </c>
      <c r="E13" s="41" t="s">
        <v>138</v>
      </c>
      <c r="F13" s="41" t="s">
        <v>138</v>
      </c>
      <c r="G13" s="14" t="s">
        <v>31</v>
      </c>
      <c r="H13" s="41"/>
      <c r="I13" s="41" t="s">
        <v>138</v>
      </c>
      <c r="J13" s="13"/>
      <c r="K13" s="2"/>
      <c r="L13" s="2"/>
    </row>
    <row r="14" spans="1:12" ht="32.25" x14ac:dyDescent="0.3">
      <c r="A14" s="6" t="s">
        <v>62</v>
      </c>
      <c r="B14" s="5"/>
      <c r="C14" s="4"/>
      <c r="D14" s="15" t="s">
        <v>51</v>
      </c>
      <c r="E14" s="41" t="s">
        <v>138</v>
      </c>
      <c r="F14" s="41" t="s">
        <v>138</v>
      </c>
      <c r="G14" s="13" t="s">
        <v>30</v>
      </c>
      <c r="H14" s="41"/>
      <c r="I14" s="41" t="s">
        <v>138</v>
      </c>
      <c r="J14" s="13"/>
      <c r="L14" s="2"/>
    </row>
    <row r="15" spans="1:12" ht="18.75" x14ac:dyDescent="0.3">
      <c r="A15" s="6" t="s">
        <v>7</v>
      </c>
      <c r="B15" s="5"/>
      <c r="C15" s="4"/>
      <c r="D15" s="15" t="s">
        <v>196</v>
      </c>
      <c r="E15" s="41" t="s">
        <v>138</v>
      </c>
      <c r="F15" s="41">
        <f>3</f>
        <v>3</v>
      </c>
      <c r="G15" s="13" t="s">
        <v>31</v>
      </c>
      <c r="H15" s="41">
        <f>1294.2/F15</f>
        <v>431.40000000000003</v>
      </c>
      <c r="I15" s="59">
        <f>F15*H15</f>
        <v>1294.2</v>
      </c>
      <c r="J15" s="13" t="s">
        <v>120</v>
      </c>
      <c r="L15" s="2"/>
    </row>
    <row r="16" spans="1:12" ht="27" customHeight="1" x14ac:dyDescent="0.3">
      <c r="A16" s="6"/>
      <c r="B16" s="5"/>
      <c r="C16" s="4"/>
      <c r="D16" s="15" t="s">
        <v>166</v>
      </c>
      <c r="E16" s="41"/>
      <c r="F16" s="41">
        <v>1</v>
      </c>
      <c r="G16" s="13" t="s">
        <v>141</v>
      </c>
      <c r="H16" s="41">
        <f>10000/F16</f>
        <v>10000</v>
      </c>
      <c r="I16" s="64">
        <f>F16*H16</f>
        <v>10000</v>
      </c>
      <c r="J16" s="13" t="s">
        <v>121</v>
      </c>
      <c r="K16" s="2"/>
      <c r="L16" s="2"/>
    </row>
    <row r="17" spans="1:12" ht="27" customHeight="1" x14ac:dyDescent="0.3">
      <c r="A17" s="28"/>
      <c r="B17" s="22"/>
      <c r="C17" s="22"/>
      <c r="D17" s="30"/>
      <c r="E17" s="48"/>
      <c r="F17" s="48"/>
      <c r="G17" s="31"/>
      <c r="H17" s="41"/>
      <c r="I17" s="46">
        <f>SUM(I5:I16)</f>
        <v>204559.2</v>
      </c>
      <c r="J17" s="13"/>
      <c r="K17" s="2"/>
      <c r="L17" s="2"/>
    </row>
    <row r="18" spans="1:12" ht="18.75" x14ac:dyDescent="0.3">
      <c r="A18" s="75" t="s">
        <v>55</v>
      </c>
      <c r="B18" s="76"/>
      <c r="C18" s="76"/>
      <c r="D18" s="76"/>
      <c r="E18" s="76"/>
      <c r="F18" s="76"/>
      <c r="G18" s="77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138</v>
      </c>
      <c r="F19" s="41" t="s">
        <v>138</v>
      </c>
      <c r="G19" s="14" t="s">
        <v>53</v>
      </c>
      <c r="H19" s="41"/>
      <c r="I19" s="41" t="s">
        <v>138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40</v>
      </c>
      <c r="E20" s="41" t="s">
        <v>138</v>
      </c>
      <c r="F20" s="41" t="s">
        <v>138</v>
      </c>
      <c r="G20" s="14" t="s">
        <v>52</v>
      </c>
      <c r="H20" s="41"/>
      <c r="I20" s="41" t="s">
        <v>138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34</v>
      </c>
      <c r="E21" s="41" t="s">
        <v>138</v>
      </c>
      <c r="F21" s="41">
        <f>175</f>
        <v>175</v>
      </c>
      <c r="G21" s="14" t="s">
        <v>52</v>
      </c>
      <c r="H21" s="46">
        <f>97963.8/F21</f>
        <v>559.79314285714293</v>
      </c>
      <c r="I21" s="64">
        <f>F21*H21</f>
        <v>97963.800000000017</v>
      </c>
      <c r="J21" s="13" t="s">
        <v>121</v>
      </c>
      <c r="K21" s="2"/>
      <c r="L21" s="2"/>
    </row>
    <row r="22" spans="1:12" ht="18.75" x14ac:dyDescent="0.3">
      <c r="A22" s="6"/>
      <c r="B22" s="5"/>
      <c r="C22" s="4"/>
      <c r="D22" s="4" t="s">
        <v>185</v>
      </c>
      <c r="E22" s="41"/>
      <c r="F22" s="41">
        <f>175</f>
        <v>175</v>
      </c>
      <c r="G22" s="14" t="s">
        <v>113</v>
      </c>
      <c r="H22" s="46">
        <f>15206.4/F22</f>
        <v>86.893714285714282</v>
      </c>
      <c r="I22" s="64">
        <f>F22*H22</f>
        <v>15206.4</v>
      </c>
      <c r="J22" s="13" t="s">
        <v>121</v>
      </c>
      <c r="K22" s="2"/>
      <c r="L22" s="2"/>
    </row>
    <row r="23" spans="1:12" ht="18.75" x14ac:dyDescent="0.3">
      <c r="A23" s="6"/>
      <c r="B23" s="5"/>
      <c r="C23" s="4"/>
      <c r="D23" s="4" t="s">
        <v>186</v>
      </c>
      <c r="E23" s="41"/>
      <c r="F23" s="41">
        <v>80</v>
      </c>
      <c r="G23" s="14" t="s">
        <v>113</v>
      </c>
      <c r="H23" s="46">
        <f>25722.2/F23</f>
        <v>321.52750000000003</v>
      </c>
      <c r="I23" s="64">
        <f>F23*H23</f>
        <v>25722.200000000004</v>
      </c>
      <c r="J23" s="13" t="s">
        <v>121</v>
      </c>
      <c r="K23" s="2"/>
      <c r="L23" s="2"/>
    </row>
    <row r="24" spans="1:12" ht="32.25" x14ac:dyDescent="0.3">
      <c r="A24" s="6"/>
      <c r="B24" s="5"/>
      <c r="C24" s="4"/>
      <c r="D24" s="15" t="s">
        <v>154</v>
      </c>
      <c r="E24" s="41" t="s">
        <v>138</v>
      </c>
      <c r="F24" s="41">
        <f>10</f>
        <v>10</v>
      </c>
      <c r="G24" s="14" t="s">
        <v>89</v>
      </c>
      <c r="H24" s="41">
        <f>9326.6/F24</f>
        <v>932.66000000000008</v>
      </c>
      <c r="I24" s="59">
        <f>F24*H24</f>
        <v>9326.6</v>
      </c>
      <c r="J24" s="13" t="s">
        <v>121</v>
      </c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138</v>
      </c>
      <c r="F25" s="41" t="s">
        <v>138</v>
      </c>
      <c r="G25" s="14" t="s">
        <v>52</v>
      </c>
      <c r="H25" s="41"/>
      <c r="I25" s="41" t="s">
        <v>138</v>
      </c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39</v>
      </c>
      <c r="E26" s="41" t="s">
        <v>138</v>
      </c>
      <c r="F26" s="41" t="s">
        <v>138</v>
      </c>
      <c r="G26" s="14" t="s">
        <v>52</v>
      </c>
      <c r="H26" s="41"/>
      <c r="I26" s="41" t="s">
        <v>138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142</v>
      </c>
      <c r="E27" s="41" t="s">
        <v>138</v>
      </c>
      <c r="F27" s="41" t="s">
        <v>138</v>
      </c>
      <c r="G27" s="14" t="s">
        <v>143</v>
      </c>
      <c r="H27" s="41"/>
      <c r="I27" s="41" t="s">
        <v>138</v>
      </c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138</v>
      </c>
      <c r="F28" s="41" t="s">
        <v>138</v>
      </c>
      <c r="G28" s="13" t="s">
        <v>30</v>
      </c>
      <c r="H28" s="41"/>
      <c r="I28" s="41" t="s">
        <v>138</v>
      </c>
      <c r="J28" s="13"/>
      <c r="K28" s="2"/>
      <c r="L28" s="2"/>
    </row>
    <row r="29" spans="1:12" ht="39" customHeight="1" x14ac:dyDescent="0.3">
      <c r="A29" s="6" t="s">
        <v>12</v>
      </c>
      <c r="B29" s="5"/>
      <c r="C29" s="4"/>
      <c r="D29" s="15" t="s">
        <v>169</v>
      </c>
      <c r="E29" s="41"/>
      <c r="F29" s="41">
        <f>12.6+1.6</f>
        <v>14.2</v>
      </c>
      <c r="G29" s="14" t="s">
        <v>52</v>
      </c>
      <c r="H29" s="46">
        <f>(3978.6+812.2)/F29</f>
        <v>337.38028169014086</v>
      </c>
      <c r="I29" s="64">
        <f>F29*H29</f>
        <v>4790.8</v>
      </c>
      <c r="J29" s="13" t="s">
        <v>118</v>
      </c>
      <c r="K29" s="2"/>
      <c r="L29" s="2"/>
    </row>
    <row r="30" spans="1:12" ht="39" customHeight="1" x14ac:dyDescent="0.3">
      <c r="A30" s="6"/>
      <c r="B30" s="5"/>
      <c r="C30" s="4"/>
      <c r="D30" s="15" t="s">
        <v>190</v>
      </c>
      <c r="E30" s="41"/>
      <c r="F30" s="41">
        <f>24.6</f>
        <v>24.6</v>
      </c>
      <c r="G30" s="14" t="s">
        <v>143</v>
      </c>
      <c r="H30" s="46">
        <f>8658.4/F30</f>
        <v>351.96747967479672</v>
      </c>
      <c r="I30" s="64">
        <f>F30*H30</f>
        <v>8658.4</v>
      </c>
      <c r="J30" s="13" t="s">
        <v>118</v>
      </c>
      <c r="K30" s="2"/>
      <c r="L30" s="2"/>
    </row>
    <row r="31" spans="1:12" ht="18.75" x14ac:dyDescent="0.3">
      <c r="A31" s="6" t="s">
        <v>54</v>
      </c>
      <c r="B31" s="5"/>
      <c r="C31" s="4"/>
      <c r="D31" s="15" t="s">
        <v>162</v>
      </c>
      <c r="E31" s="41"/>
      <c r="F31" s="41"/>
      <c r="G31" s="14" t="s">
        <v>30</v>
      </c>
      <c r="H31" s="41" t="s">
        <v>138</v>
      </c>
      <c r="I31" s="41" t="s">
        <v>138</v>
      </c>
      <c r="J31" s="13"/>
      <c r="L31" s="2"/>
    </row>
    <row r="32" spans="1:12" ht="32.25" x14ac:dyDescent="0.3">
      <c r="A32" s="6"/>
      <c r="B32" s="5"/>
      <c r="C32" s="4"/>
      <c r="D32" s="15" t="s">
        <v>178</v>
      </c>
      <c r="E32" s="41"/>
      <c r="F32" s="41">
        <f>0.5+1.5</f>
        <v>2</v>
      </c>
      <c r="G32" s="14" t="s">
        <v>113</v>
      </c>
      <c r="H32" s="41">
        <f>(82.8+875.8)/F32</f>
        <v>479.29999999999995</v>
      </c>
      <c r="I32" s="59">
        <f>F32*H32</f>
        <v>958.59999999999991</v>
      </c>
      <c r="J32" s="13" t="s">
        <v>120</v>
      </c>
      <c r="L32" s="2"/>
    </row>
    <row r="33" spans="1:12" ht="32.25" x14ac:dyDescent="0.3">
      <c r="A33" s="6" t="s">
        <v>56</v>
      </c>
      <c r="B33" s="5"/>
      <c r="C33" s="4"/>
      <c r="D33" s="15" t="s">
        <v>94</v>
      </c>
      <c r="E33" s="41" t="s">
        <v>138</v>
      </c>
      <c r="F33" s="41" t="s">
        <v>138</v>
      </c>
      <c r="G33" s="14" t="s">
        <v>52</v>
      </c>
      <c r="H33" s="41"/>
      <c r="I33" s="41" t="s">
        <v>138</v>
      </c>
      <c r="J33" s="13"/>
      <c r="L33" s="2"/>
    </row>
    <row r="34" spans="1:12" ht="32.25" x14ac:dyDescent="0.3">
      <c r="A34" s="6" t="s">
        <v>14</v>
      </c>
      <c r="B34" s="5"/>
      <c r="C34" s="4"/>
      <c r="D34" s="15" t="s">
        <v>93</v>
      </c>
      <c r="E34" s="41" t="s">
        <v>138</v>
      </c>
      <c r="F34" s="41" t="s">
        <v>138</v>
      </c>
      <c r="G34" s="14" t="s">
        <v>53</v>
      </c>
      <c r="H34" s="41"/>
      <c r="I34" s="41" t="s">
        <v>138</v>
      </c>
      <c r="J34" s="13"/>
      <c r="L34" s="2"/>
    </row>
    <row r="35" spans="1:12" ht="18.75" x14ac:dyDescent="0.3">
      <c r="A35" s="6" t="s">
        <v>15</v>
      </c>
      <c r="B35" s="5"/>
      <c r="C35" s="4"/>
      <c r="D35" s="4" t="s">
        <v>41</v>
      </c>
      <c r="E35" s="41" t="s">
        <v>138</v>
      </c>
      <c r="F35" s="41" t="s">
        <v>138</v>
      </c>
      <c r="G35" s="14" t="s">
        <v>53</v>
      </c>
      <c r="H35" s="41"/>
      <c r="I35" s="41" t="s">
        <v>138</v>
      </c>
      <c r="J35" s="13"/>
      <c r="L35" s="2"/>
    </row>
    <row r="36" spans="1:12" ht="18.75" x14ac:dyDescent="0.3">
      <c r="A36" s="6" t="s">
        <v>16</v>
      </c>
      <c r="B36" s="5"/>
      <c r="C36" s="4"/>
      <c r="D36" s="4" t="s">
        <v>42</v>
      </c>
      <c r="E36" s="41" t="s">
        <v>138</v>
      </c>
      <c r="F36" s="41" t="s">
        <v>138</v>
      </c>
      <c r="G36" s="14" t="s">
        <v>52</v>
      </c>
      <c r="H36" s="41"/>
      <c r="I36" s="41" t="s">
        <v>138</v>
      </c>
      <c r="J36" s="13"/>
      <c r="L36" s="2"/>
    </row>
    <row r="37" spans="1:12" ht="18.75" x14ac:dyDescent="0.3">
      <c r="A37" s="6" t="s">
        <v>17</v>
      </c>
      <c r="B37" s="5"/>
      <c r="C37" s="4"/>
      <c r="D37" s="4" t="s">
        <v>43</v>
      </c>
      <c r="E37" s="41" t="s">
        <v>138</v>
      </c>
      <c r="F37" s="41" t="s">
        <v>138</v>
      </c>
      <c r="G37" s="13" t="s">
        <v>30</v>
      </c>
      <c r="H37" s="41"/>
      <c r="I37" s="41" t="s">
        <v>138</v>
      </c>
      <c r="J37" s="13"/>
      <c r="L37" s="2"/>
    </row>
    <row r="38" spans="1:12" ht="18.75" x14ac:dyDescent="0.3">
      <c r="A38" s="6" t="s">
        <v>18</v>
      </c>
      <c r="B38" s="5"/>
      <c r="C38" s="4"/>
      <c r="D38" s="4" t="s">
        <v>44</v>
      </c>
      <c r="E38" s="41" t="s">
        <v>138</v>
      </c>
      <c r="F38" s="41" t="s">
        <v>138</v>
      </c>
      <c r="G38" s="14" t="s">
        <v>53</v>
      </c>
      <c r="H38" s="41"/>
      <c r="I38" s="41" t="s">
        <v>138</v>
      </c>
      <c r="J38" s="13"/>
      <c r="L38" s="2"/>
    </row>
    <row r="39" spans="1:12" ht="18.75" x14ac:dyDescent="0.3">
      <c r="A39" s="28"/>
      <c r="B39" s="22"/>
      <c r="C39" s="22"/>
      <c r="D39" s="22"/>
      <c r="E39" s="48"/>
      <c r="F39" s="48"/>
      <c r="G39" s="12"/>
      <c r="H39" s="41"/>
      <c r="I39" s="46">
        <f>SUM(I18:I38)</f>
        <v>162626.80000000002</v>
      </c>
      <c r="J39" s="13"/>
      <c r="L39" s="2"/>
    </row>
    <row r="40" spans="1:12" ht="24" customHeight="1" x14ac:dyDescent="0.3">
      <c r="A40" s="75" t="s">
        <v>85</v>
      </c>
      <c r="B40" s="76"/>
      <c r="C40" s="76"/>
      <c r="D40" s="76"/>
      <c r="E40" s="76"/>
      <c r="F40" s="76"/>
      <c r="G40" s="77"/>
      <c r="H40" s="14"/>
      <c r="I40" s="5"/>
      <c r="J40" s="13"/>
      <c r="L40" s="2"/>
    </row>
    <row r="41" spans="1:12" ht="32.25" customHeight="1" x14ac:dyDescent="0.3">
      <c r="A41" s="6" t="s">
        <v>48</v>
      </c>
      <c r="B41" s="5"/>
      <c r="C41" s="4"/>
      <c r="D41" s="15" t="s">
        <v>195</v>
      </c>
      <c r="E41" s="32"/>
      <c r="F41" s="13">
        <f>1</f>
        <v>1</v>
      </c>
      <c r="G41" s="38" t="s">
        <v>31</v>
      </c>
      <c r="H41" s="13">
        <f>1557.2/F41</f>
        <v>1557.2</v>
      </c>
      <c r="I41" s="61">
        <f>F41*H41</f>
        <v>1557.2</v>
      </c>
      <c r="J41" s="13" t="s">
        <v>120</v>
      </c>
      <c r="L41" s="2"/>
    </row>
    <row r="42" spans="1:12" ht="32.25" customHeight="1" x14ac:dyDescent="0.3">
      <c r="A42" s="6"/>
      <c r="B42" s="5"/>
      <c r="C42" s="4"/>
      <c r="D42" s="15" t="s">
        <v>171</v>
      </c>
      <c r="E42" s="41"/>
      <c r="F42" s="41">
        <f>12</f>
        <v>12</v>
      </c>
      <c r="G42" s="13" t="s">
        <v>30</v>
      </c>
      <c r="H42" s="46">
        <f>3236.4/F42</f>
        <v>269.7</v>
      </c>
      <c r="I42" s="59">
        <f t="shared" ref="I42" si="0">F42*H42</f>
        <v>3236.3999999999996</v>
      </c>
      <c r="J42" s="13" t="s">
        <v>172</v>
      </c>
      <c r="L42" s="2"/>
    </row>
    <row r="43" spans="1:12" ht="32.25" x14ac:dyDescent="0.3">
      <c r="A43" s="6" t="s">
        <v>49</v>
      </c>
      <c r="B43" s="5"/>
      <c r="C43" s="4"/>
      <c r="D43" s="15" t="s">
        <v>99</v>
      </c>
      <c r="E43" s="41" t="s">
        <v>138</v>
      </c>
      <c r="F43" s="41" t="s">
        <v>138</v>
      </c>
      <c r="G43" s="13" t="s">
        <v>53</v>
      </c>
      <c r="H43" s="41"/>
      <c r="I43" s="41" t="s">
        <v>138</v>
      </c>
      <c r="J43" s="13"/>
      <c r="L43" s="2"/>
    </row>
    <row r="44" spans="1:12" ht="32.25" x14ac:dyDescent="0.3">
      <c r="A44" s="6" t="s">
        <v>58</v>
      </c>
      <c r="B44" s="8"/>
      <c r="C44" s="4"/>
      <c r="D44" s="15" t="s">
        <v>45</v>
      </c>
      <c r="E44" s="41" t="s">
        <v>138</v>
      </c>
      <c r="F44" s="41" t="s">
        <v>138</v>
      </c>
      <c r="G44" s="14" t="s">
        <v>52</v>
      </c>
      <c r="H44" s="41"/>
      <c r="I44" s="41" t="s">
        <v>138</v>
      </c>
      <c r="J44" s="13"/>
      <c r="L44" s="2"/>
    </row>
    <row r="45" spans="1:12" ht="18.75" x14ac:dyDescent="0.3">
      <c r="A45" s="6"/>
      <c r="B45" s="8"/>
      <c r="C45" s="4"/>
      <c r="D45" s="15" t="s">
        <v>168</v>
      </c>
      <c r="E45" s="41"/>
      <c r="F45" s="41"/>
      <c r="G45" s="14" t="s">
        <v>31</v>
      </c>
      <c r="H45" s="41"/>
      <c r="I45" s="41"/>
      <c r="J45" s="13"/>
      <c r="L45" s="2"/>
    </row>
    <row r="46" spans="1:12" ht="18.75" x14ac:dyDescent="0.3">
      <c r="A46" s="6" t="s">
        <v>60</v>
      </c>
      <c r="B46" s="5"/>
      <c r="C46" s="4"/>
      <c r="D46" s="15" t="s">
        <v>50</v>
      </c>
      <c r="E46" s="41" t="s">
        <v>138</v>
      </c>
      <c r="F46" s="41" t="s">
        <v>138</v>
      </c>
      <c r="G46" s="14" t="s">
        <v>52</v>
      </c>
      <c r="H46" s="41"/>
      <c r="I46" s="41" t="s">
        <v>138</v>
      </c>
      <c r="J46" s="13"/>
      <c r="L46" s="2"/>
    </row>
    <row r="47" spans="1:12" ht="32.25" x14ac:dyDescent="0.3">
      <c r="A47" s="6"/>
      <c r="B47" s="5"/>
      <c r="C47" s="4"/>
      <c r="D47" s="15" t="s">
        <v>192</v>
      </c>
      <c r="E47" s="41"/>
      <c r="F47" s="41">
        <f>1</f>
        <v>1</v>
      </c>
      <c r="G47" s="14" t="s">
        <v>31</v>
      </c>
      <c r="H47" s="41">
        <f>15000/F47</f>
        <v>15000</v>
      </c>
      <c r="I47" s="59">
        <f>F47*H47</f>
        <v>15000</v>
      </c>
      <c r="J47" s="13" t="s">
        <v>120</v>
      </c>
      <c r="L47" s="2"/>
    </row>
    <row r="48" spans="1:12" ht="32.25" x14ac:dyDescent="0.3">
      <c r="A48" s="6" t="s">
        <v>61</v>
      </c>
      <c r="B48" s="5"/>
      <c r="C48" s="4"/>
      <c r="D48" s="15" t="s">
        <v>63</v>
      </c>
      <c r="E48" s="41" t="s">
        <v>138</v>
      </c>
      <c r="F48" s="41" t="s">
        <v>138</v>
      </c>
      <c r="G48" s="13" t="s">
        <v>30</v>
      </c>
      <c r="H48" s="41"/>
      <c r="I48" s="41" t="s">
        <v>138</v>
      </c>
      <c r="J48" s="13"/>
      <c r="L48" s="2"/>
    </row>
    <row r="49" spans="1:12" ht="18.75" x14ac:dyDescent="0.3">
      <c r="A49" s="6"/>
      <c r="B49" s="5"/>
      <c r="C49" s="4"/>
      <c r="D49" s="15" t="s">
        <v>151</v>
      </c>
      <c r="E49" s="41" t="s">
        <v>138</v>
      </c>
      <c r="F49" s="41" t="s">
        <v>138</v>
      </c>
      <c r="G49" s="13" t="s">
        <v>31</v>
      </c>
      <c r="H49" s="41"/>
      <c r="I49" s="41" t="s">
        <v>138</v>
      </c>
      <c r="J49" s="13"/>
      <c r="L49" s="2"/>
    </row>
    <row r="50" spans="1:12" ht="18.75" x14ac:dyDescent="0.3">
      <c r="A50" s="6" t="s">
        <v>57</v>
      </c>
      <c r="B50" s="8"/>
      <c r="C50" s="4"/>
      <c r="D50" s="4" t="s">
        <v>46</v>
      </c>
      <c r="E50" s="41" t="s">
        <v>138</v>
      </c>
      <c r="F50" s="41" t="s">
        <v>138</v>
      </c>
      <c r="G50" s="14" t="s">
        <v>52</v>
      </c>
      <c r="H50" s="41"/>
      <c r="I50" s="41" t="s">
        <v>138</v>
      </c>
      <c r="J50" s="13"/>
      <c r="L50" s="2"/>
    </row>
    <row r="51" spans="1:12" ht="24" customHeight="1" x14ac:dyDescent="0.3">
      <c r="A51" s="6" t="s">
        <v>59</v>
      </c>
      <c r="B51" s="8"/>
      <c r="C51" s="4"/>
      <c r="D51" s="4" t="s">
        <v>47</v>
      </c>
      <c r="E51" s="41" t="s">
        <v>138</v>
      </c>
      <c r="F51" s="41" t="s">
        <v>138</v>
      </c>
      <c r="G51" s="14" t="s">
        <v>52</v>
      </c>
      <c r="H51" s="41"/>
      <c r="I51" s="41" t="s">
        <v>138</v>
      </c>
      <c r="J51" s="13"/>
      <c r="L51" s="2"/>
    </row>
    <row r="52" spans="1:12" ht="18.75" x14ac:dyDescent="0.3">
      <c r="A52" s="6" t="s">
        <v>64</v>
      </c>
      <c r="B52" s="5"/>
      <c r="C52" s="4"/>
      <c r="D52" s="4" t="s">
        <v>92</v>
      </c>
      <c r="E52" s="41" t="s">
        <v>138</v>
      </c>
      <c r="F52" s="41" t="s">
        <v>138</v>
      </c>
      <c r="G52" s="14" t="s">
        <v>53</v>
      </c>
      <c r="H52" s="41"/>
      <c r="I52" s="41" t="s">
        <v>138</v>
      </c>
      <c r="J52" s="13"/>
      <c r="L52" s="2"/>
    </row>
    <row r="53" spans="1:12" ht="18.75" x14ac:dyDescent="0.3">
      <c r="A53" s="28"/>
      <c r="B53" s="22"/>
      <c r="C53" s="22"/>
      <c r="D53" s="22"/>
      <c r="E53" s="48"/>
      <c r="F53" s="48"/>
      <c r="G53" s="12"/>
      <c r="H53" s="41"/>
      <c r="I53" s="46">
        <f>SUM(I41:I52)</f>
        <v>19793.599999999999</v>
      </c>
      <c r="J53" s="13"/>
      <c r="L53" s="2"/>
    </row>
    <row r="54" spans="1:12" ht="18.75" x14ac:dyDescent="0.3">
      <c r="A54" s="75" t="s">
        <v>66</v>
      </c>
      <c r="B54" s="76"/>
      <c r="C54" s="76"/>
      <c r="D54" s="76"/>
      <c r="E54" s="76"/>
      <c r="F54" s="76"/>
      <c r="G54" s="77"/>
      <c r="H54" s="18"/>
      <c r="I54" s="5"/>
      <c r="J54" s="13"/>
      <c r="L54" s="2"/>
    </row>
    <row r="55" spans="1:12" ht="37.5" x14ac:dyDescent="0.25">
      <c r="A55" s="9" t="s">
        <v>29</v>
      </c>
      <c r="B55" s="8"/>
      <c r="C55" s="4"/>
      <c r="D55" s="15" t="s">
        <v>140</v>
      </c>
      <c r="E55" s="41"/>
      <c r="F55" s="41"/>
      <c r="G55" s="13" t="s">
        <v>53</v>
      </c>
      <c r="H55" s="41"/>
      <c r="I55" s="41"/>
      <c r="J55" s="13"/>
      <c r="L55" s="2"/>
    </row>
    <row r="56" spans="1:12" ht="31.5" x14ac:dyDescent="0.25">
      <c r="A56" s="9"/>
      <c r="B56" s="8"/>
      <c r="C56" s="4"/>
      <c r="D56" s="15" t="s">
        <v>180</v>
      </c>
      <c r="E56" s="41"/>
      <c r="F56" s="41">
        <v>20</v>
      </c>
      <c r="G56" s="13" t="s">
        <v>31</v>
      </c>
      <c r="H56" s="46">
        <f>3457.8/F56</f>
        <v>172.89000000000001</v>
      </c>
      <c r="I56" s="41">
        <f>F56*H56</f>
        <v>3457.8</v>
      </c>
      <c r="J56" s="13" t="s">
        <v>120</v>
      </c>
      <c r="L56" s="2"/>
    </row>
    <row r="57" spans="1:12" ht="46.5" customHeight="1" x14ac:dyDescent="0.25">
      <c r="A57" s="9" t="s">
        <v>91</v>
      </c>
      <c r="B57" s="8"/>
      <c r="C57" s="4"/>
      <c r="D57" s="42" t="s">
        <v>124</v>
      </c>
      <c r="E57" s="32"/>
      <c r="F57" s="13">
        <v>894</v>
      </c>
      <c r="G57" s="13" t="s">
        <v>113</v>
      </c>
      <c r="H57" s="33">
        <f>(4185.6+4185.6+4185.6+4210.2+4210.2+4210.2+4373.6+4373.6+4373.6+4430.8+4430.8+4430.8)/F57</f>
        <v>57.718791946308734</v>
      </c>
      <c r="I57" s="33">
        <f t="shared" ref="I57:I59" si="1">F57*H57</f>
        <v>51600.600000000006</v>
      </c>
      <c r="J57" s="13" t="s">
        <v>116</v>
      </c>
      <c r="L57" s="2"/>
    </row>
    <row r="58" spans="1:12" ht="46.5" customHeight="1" x14ac:dyDescent="0.25">
      <c r="A58" s="9"/>
      <c r="B58" s="8"/>
      <c r="C58" s="4"/>
      <c r="D58" s="15" t="s">
        <v>111</v>
      </c>
      <c r="E58" s="32"/>
      <c r="F58" s="13">
        <f>1015</f>
        <v>1015</v>
      </c>
      <c r="G58" s="13" t="s">
        <v>30</v>
      </c>
      <c r="H58" s="33">
        <f>96201/F58</f>
        <v>94.779310344827593</v>
      </c>
      <c r="I58" s="33">
        <f t="shared" si="1"/>
        <v>96201</v>
      </c>
      <c r="J58" s="13" t="s">
        <v>118</v>
      </c>
      <c r="L58" s="2"/>
    </row>
    <row r="59" spans="1:12" ht="46.5" customHeight="1" x14ac:dyDescent="0.25">
      <c r="A59" s="9"/>
      <c r="B59" s="8"/>
      <c r="C59" s="4"/>
      <c r="D59" s="15" t="s">
        <v>112</v>
      </c>
      <c r="E59" s="41"/>
      <c r="F59" s="41">
        <v>99.1</v>
      </c>
      <c r="G59" s="13" t="s">
        <v>30</v>
      </c>
      <c r="H59" s="46">
        <f>9497.8/F59</f>
        <v>95.840565085771942</v>
      </c>
      <c r="I59" s="41">
        <f t="shared" si="1"/>
        <v>9497.7999999999993</v>
      </c>
      <c r="J59" s="13" t="s">
        <v>118</v>
      </c>
      <c r="L59" s="2"/>
    </row>
    <row r="60" spans="1:12" ht="46.5" customHeight="1" x14ac:dyDescent="0.25">
      <c r="A60" s="9"/>
      <c r="B60" s="8"/>
      <c r="C60" s="4"/>
      <c r="D60" s="15" t="s">
        <v>150</v>
      </c>
      <c r="E60" s="41" t="s">
        <v>138</v>
      </c>
      <c r="F60" s="41">
        <f>1</f>
        <v>1</v>
      </c>
      <c r="G60" s="13" t="s">
        <v>31</v>
      </c>
      <c r="H60" s="41">
        <f>1532.6/F60</f>
        <v>1532.6</v>
      </c>
      <c r="I60" s="41">
        <f>F60*H60</f>
        <v>1532.6</v>
      </c>
      <c r="J60" s="13" t="s">
        <v>120</v>
      </c>
      <c r="L60" s="2"/>
    </row>
    <row r="61" spans="1:12" ht="46.5" customHeight="1" x14ac:dyDescent="0.25">
      <c r="A61" s="9"/>
      <c r="B61" s="8"/>
      <c r="C61" s="4"/>
      <c r="D61" s="15" t="s">
        <v>193</v>
      </c>
      <c r="E61" s="41" t="s">
        <v>138</v>
      </c>
      <c r="F61" s="41">
        <v>150</v>
      </c>
      <c r="G61" s="38" t="s">
        <v>194</v>
      </c>
      <c r="H61" s="67">
        <f>60.2/F61</f>
        <v>0.40133333333333338</v>
      </c>
      <c r="I61" s="41">
        <f>F61*H61</f>
        <v>60.2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157</v>
      </c>
      <c r="E62" s="41"/>
      <c r="F62" s="41">
        <v>2</v>
      </c>
      <c r="G62" s="13" t="s">
        <v>31</v>
      </c>
      <c r="H62" s="41">
        <f>3246.8/F62</f>
        <v>1623.4</v>
      </c>
      <c r="I62" s="41">
        <f t="shared" ref="I62" si="2">F62*H62</f>
        <v>3246.8</v>
      </c>
      <c r="J62" s="13" t="s">
        <v>121</v>
      </c>
      <c r="L62" s="2"/>
    </row>
    <row r="63" spans="1:12" ht="31.5" x14ac:dyDescent="0.25">
      <c r="A63" s="9" t="s">
        <v>82</v>
      </c>
      <c r="B63" s="8"/>
      <c r="C63" s="4"/>
      <c r="D63" s="15" t="s">
        <v>153</v>
      </c>
      <c r="E63" s="41" t="s">
        <v>138</v>
      </c>
      <c r="F63" s="41" t="s">
        <v>138</v>
      </c>
      <c r="G63" s="13" t="s">
        <v>53</v>
      </c>
      <c r="H63" s="41"/>
      <c r="I63" s="41" t="s">
        <v>138</v>
      </c>
      <c r="J63" s="13"/>
      <c r="L63" s="2"/>
    </row>
    <row r="64" spans="1:12" ht="31.5" x14ac:dyDescent="0.25">
      <c r="A64" s="9"/>
      <c r="B64" s="8"/>
      <c r="C64" s="4"/>
      <c r="D64" s="15" t="s">
        <v>170</v>
      </c>
      <c r="E64" s="41"/>
      <c r="F64" s="41">
        <f>6+5</f>
        <v>11</v>
      </c>
      <c r="G64" s="13" t="s">
        <v>31</v>
      </c>
      <c r="H64" s="46">
        <f>(7760+7396.6)/F64</f>
        <v>1377.8727272727274</v>
      </c>
      <c r="I64" s="64">
        <f>F64*H64</f>
        <v>15156.600000000002</v>
      </c>
      <c r="J64" s="13" t="s">
        <v>118</v>
      </c>
      <c r="L64" s="2"/>
    </row>
    <row r="65" spans="1:12" ht="18.75" x14ac:dyDescent="0.25">
      <c r="A65" s="9"/>
      <c r="B65" s="8"/>
      <c r="C65" s="4"/>
      <c r="D65" s="15" t="s">
        <v>130</v>
      </c>
      <c r="E65" s="41"/>
      <c r="F65" s="41">
        <f>5+7</f>
        <v>12</v>
      </c>
      <c r="G65" s="13" t="s">
        <v>31</v>
      </c>
      <c r="H65" s="41">
        <f>(6098+8445.4)/F65</f>
        <v>1211.95</v>
      </c>
      <c r="I65" s="59">
        <f>F65*H65</f>
        <v>14543.400000000001</v>
      </c>
      <c r="J65" s="13" t="s">
        <v>121</v>
      </c>
      <c r="L65" s="2"/>
    </row>
    <row r="66" spans="1:12" ht="31.5" x14ac:dyDescent="0.25">
      <c r="A66" s="9"/>
      <c r="B66" s="8"/>
      <c r="C66" s="4"/>
      <c r="D66" s="15" t="s">
        <v>188</v>
      </c>
      <c r="E66" s="41" t="s">
        <v>138</v>
      </c>
      <c r="F66" s="41">
        <f>2</f>
        <v>2</v>
      </c>
      <c r="G66" s="13" t="s">
        <v>31</v>
      </c>
      <c r="H66" s="41">
        <f>76073/F66</f>
        <v>38036.5</v>
      </c>
      <c r="I66" s="64">
        <f>F66*H66</f>
        <v>76073</v>
      </c>
      <c r="J66" s="13" t="s">
        <v>118</v>
      </c>
      <c r="L66" s="2"/>
    </row>
    <row r="67" spans="1:12" ht="18.75" x14ac:dyDescent="0.25">
      <c r="A67" s="9" t="s">
        <v>20</v>
      </c>
      <c r="B67" s="8"/>
      <c r="C67" s="4"/>
      <c r="D67" s="15" t="s">
        <v>67</v>
      </c>
      <c r="E67" s="41" t="s">
        <v>138</v>
      </c>
      <c r="F67" s="41" t="s">
        <v>138</v>
      </c>
      <c r="G67" s="13" t="s">
        <v>30</v>
      </c>
      <c r="H67" s="41"/>
      <c r="I67" s="41" t="s">
        <v>138</v>
      </c>
      <c r="J67" s="13"/>
      <c r="L67" s="2"/>
    </row>
    <row r="68" spans="1:12" ht="31.5" x14ac:dyDescent="0.25">
      <c r="A68" s="9" t="s">
        <v>21</v>
      </c>
      <c r="B68" s="8"/>
      <c r="C68" s="4"/>
      <c r="D68" s="15" t="s">
        <v>69</v>
      </c>
      <c r="E68" s="41" t="s">
        <v>138</v>
      </c>
      <c r="F68" s="41" t="s">
        <v>138</v>
      </c>
      <c r="G68" s="13" t="s">
        <v>53</v>
      </c>
      <c r="H68" s="41"/>
      <c r="I68" s="41" t="s">
        <v>138</v>
      </c>
      <c r="J68" s="13"/>
      <c r="L68" s="2"/>
    </row>
    <row r="69" spans="1:12" ht="18.75" x14ac:dyDescent="0.25">
      <c r="A69" s="49"/>
      <c r="B69" s="50"/>
      <c r="C69" s="22"/>
      <c r="D69" s="30"/>
      <c r="E69" s="48"/>
      <c r="F69" s="48"/>
      <c r="G69" s="31"/>
      <c r="H69" s="41"/>
      <c r="I69" s="46">
        <f>SUM(I55:I68)</f>
        <v>271369.80000000005</v>
      </c>
      <c r="J69" s="13"/>
      <c r="L69" s="2"/>
    </row>
    <row r="70" spans="1:12" ht="18.75" x14ac:dyDescent="0.3">
      <c r="A70" s="71" t="s">
        <v>70</v>
      </c>
      <c r="B70" s="72"/>
      <c r="C70" s="72"/>
      <c r="D70" s="72"/>
      <c r="E70" s="72"/>
      <c r="F70" s="72"/>
      <c r="G70" s="73"/>
      <c r="H70" s="19"/>
      <c r="I70" s="5"/>
      <c r="J70" s="13"/>
      <c r="L70" s="2"/>
    </row>
    <row r="71" spans="1:12" ht="37.5" x14ac:dyDescent="0.25">
      <c r="A71" s="9" t="s">
        <v>91</v>
      </c>
      <c r="B71" s="8"/>
      <c r="C71" s="4"/>
      <c r="D71" s="4" t="s">
        <v>126</v>
      </c>
      <c r="E71" s="41" t="s">
        <v>138</v>
      </c>
      <c r="F71" s="41" t="s">
        <v>138</v>
      </c>
      <c r="G71" s="13" t="s">
        <v>115</v>
      </c>
      <c r="H71" s="41"/>
      <c r="I71" s="41" t="s">
        <v>138</v>
      </c>
      <c r="J71" s="13"/>
      <c r="L71" s="2"/>
    </row>
    <row r="72" spans="1:12" ht="18.75" x14ac:dyDescent="0.25">
      <c r="A72" s="9"/>
      <c r="B72" s="8"/>
      <c r="C72" s="4"/>
      <c r="D72" s="15" t="s">
        <v>146</v>
      </c>
      <c r="E72" s="41" t="s">
        <v>138</v>
      </c>
      <c r="F72" s="41" t="s">
        <v>138</v>
      </c>
      <c r="G72" s="13" t="s">
        <v>31</v>
      </c>
      <c r="H72" s="41"/>
      <c r="I72" s="41" t="s">
        <v>138</v>
      </c>
      <c r="J72" s="13"/>
      <c r="L72" s="2"/>
    </row>
    <row r="73" spans="1:12" ht="18.75" x14ac:dyDescent="0.25">
      <c r="A73" s="9" t="s">
        <v>82</v>
      </c>
      <c r="B73" s="8"/>
      <c r="C73" s="4"/>
      <c r="D73" s="15" t="s">
        <v>68</v>
      </c>
      <c r="E73" s="41" t="s">
        <v>138</v>
      </c>
      <c r="F73" s="41" t="s">
        <v>138</v>
      </c>
      <c r="G73" s="13" t="s">
        <v>53</v>
      </c>
      <c r="H73" s="41"/>
      <c r="I73" s="41" t="s">
        <v>138</v>
      </c>
      <c r="J73" s="13"/>
      <c r="L73" s="2"/>
    </row>
    <row r="74" spans="1:12" ht="18.75" x14ac:dyDescent="0.25">
      <c r="A74" s="9"/>
      <c r="B74" s="8"/>
      <c r="C74" s="4"/>
      <c r="D74" s="15" t="s">
        <v>160</v>
      </c>
      <c r="E74" s="41" t="s">
        <v>138</v>
      </c>
      <c r="F74" s="41" t="s">
        <v>138</v>
      </c>
      <c r="G74" s="13" t="s">
        <v>31</v>
      </c>
      <c r="H74" s="41"/>
      <c r="I74" s="41" t="s">
        <v>138</v>
      </c>
      <c r="J74" s="13"/>
      <c r="L74" s="2"/>
    </row>
    <row r="75" spans="1:12" ht="31.5" x14ac:dyDescent="0.25">
      <c r="A75" s="9" t="s">
        <v>21</v>
      </c>
      <c r="B75" s="8"/>
      <c r="C75" s="4"/>
      <c r="D75" s="15" t="s">
        <v>69</v>
      </c>
      <c r="E75" s="41" t="s">
        <v>138</v>
      </c>
      <c r="F75" s="41" t="s">
        <v>138</v>
      </c>
      <c r="G75" s="13" t="s">
        <v>141</v>
      </c>
      <c r="H75" s="41"/>
      <c r="I75" s="41" t="s">
        <v>138</v>
      </c>
      <c r="J75" s="13"/>
      <c r="L75" s="2"/>
    </row>
    <row r="76" spans="1:12" ht="18.75" x14ac:dyDescent="0.25">
      <c r="A76" s="49"/>
      <c r="B76" s="50"/>
      <c r="C76" s="22"/>
      <c r="D76" s="30"/>
      <c r="E76" s="48"/>
      <c r="F76" s="48"/>
      <c r="G76" s="31"/>
      <c r="H76" s="41"/>
      <c r="I76" s="41"/>
      <c r="J76" s="13"/>
      <c r="L76" s="2"/>
    </row>
    <row r="77" spans="1:12" ht="18.75" x14ac:dyDescent="0.3">
      <c r="A77" s="71" t="s">
        <v>71</v>
      </c>
      <c r="B77" s="72"/>
      <c r="C77" s="72"/>
      <c r="D77" s="72"/>
      <c r="E77" s="72"/>
      <c r="F77" s="72"/>
      <c r="G77" s="73"/>
      <c r="H77" s="13"/>
      <c r="I77" s="5"/>
      <c r="J77" s="13"/>
      <c r="L77" s="2"/>
    </row>
    <row r="78" spans="1:12" ht="37.5" x14ac:dyDescent="0.25">
      <c r="A78" s="9" t="s">
        <v>91</v>
      </c>
      <c r="B78" s="8"/>
      <c r="C78" s="4"/>
      <c r="D78" s="4" t="s">
        <v>164</v>
      </c>
      <c r="E78" s="31"/>
      <c r="F78" s="13">
        <v>5</v>
      </c>
      <c r="G78" s="13" t="s">
        <v>115</v>
      </c>
      <c r="H78" s="33">
        <f>(4212.2+4212.2+2808.4+2828+5651.6+2937.2+2118.2+2937.2+2937.2+5948.8+3718)/F78/2</f>
        <v>4030.9000000000005</v>
      </c>
      <c r="I78" s="13">
        <f t="shared" ref="I78" si="3">F78*H78</f>
        <v>20154.500000000004</v>
      </c>
      <c r="J78" s="13" t="s">
        <v>116</v>
      </c>
      <c r="L78" s="2"/>
    </row>
    <row r="79" spans="1:12" ht="18.75" x14ac:dyDescent="0.25">
      <c r="A79" s="9"/>
      <c r="B79" s="8"/>
      <c r="C79" s="4"/>
      <c r="D79" s="15" t="s">
        <v>161</v>
      </c>
      <c r="E79" s="31"/>
      <c r="F79" s="31">
        <v>1</v>
      </c>
      <c r="G79" s="13" t="s">
        <v>147</v>
      </c>
      <c r="H79" s="31">
        <f>535.4/F79</f>
        <v>535.4</v>
      </c>
      <c r="I79" s="60">
        <f>F79*H79</f>
        <v>535.4</v>
      </c>
      <c r="J79" s="13" t="s">
        <v>121</v>
      </c>
      <c r="L79" s="2"/>
    </row>
    <row r="80" spans="1:12" ht="18.75" x14ac:dyDescent="0.25">
      <c r="A80" s="9"/>
      <c r="B80" s="8"/>
      <c r="C80" s="4"/>
      <c r="D80" s="15" t="s">
        <v>155</v>
      </c>
      <c r="E80" s="31"/>
      <c r="F80" s="31"/>
      <c r="G80" s="13" t="s">
        <v>147</v>
      </c>
      <c r="H80" s="31"/>
      <c r="I80" s="31"/>
      <c r="J80" s="13"/>
      <c r="L80" s="2"/>
    </row>
    <row r="81" spans="1:12" ht="18.75" x14ac:dyDescent="0.25">
      <c r="A81" s="9" t="s">
        <v>82</v>
      </c>
      <c r="B81" s="8"/>
      <c r="C81" s="4"/>
      <c r="D81" s="15" t="s">
        <v>68</v>
      </c>
      <c r="E81" s="41" t="s">
        <v>138</v>
      </c>
      <c r="F81" s="41" t="s">
        <v>138</v>
      </c>
      <c r="G81" s="14" t="s">
        <v>53</v>
      </c>
      <c r="H81" s="41"/>
      <c r="I81" s="41" t="s">
        <v>138</v>
      </c>
      <c r="J81" s="13"/>
      <c r="L81" s="2"/>
    </row>
    <row r="82" spans="1:12" ht="18.75" x14ac:dyDescent="0.25">
      <c r="A82" s="9"/>
      <c r="B82" s="8"/>
      <c r="C82" s="4"/>
      <c r="D82" s="15" t="s">
        <v>189</v>
      </c>
      <c r="E82" s="41"/>
      <c r="F82" s="41">
        <f>1+3</f>
        <v>4</v>
      </c>
      <c r="G82" s="14" t="s">
        <v>31</v>
      </c>
      <c r="H82" s="41">
        <f>(1210+3662.2)/F82</f>
        <v>1218.05</v>
      </c>
      <c r="I82" s="64">
        <f>F82*H82</f>
        <v>4872.2</v>
      </c>
      <c r="J82" s="13" t="s">
        <v>118</v>
      </c>
      <c r="L82" s="2"/>
    </row>
    <row r="83" spans="1:12" ht="31.5" x14ac:dyDescent="0.25">
      <c r="A83" s="9" t="s">
        <v>21</v>
      </c>
      <c r="B83" s="8"/>
      <c r="C83" s="4"/>
      <c r="D83" s="15" t="s">
        <v>69</v>
      </c>
      <c r="E83" s="41" t="s">
        <v>138</v>
      </c>
      <c r="F83" s="41" t="s">
        <v>138</v>
      </c>
      <c r="G83" s="14" t="s">
        <v>53</v>
      </c>
      <c r="H83" s="41"/>
      <c r="I83" s="41" t="s">
        <v>138</v>
      </c>
      <c r="J83" s="13"/>
      <c r="L83" s="2"/>
    </row>
    <row r="84" spans="1:12" ht="18.75" x14ac:dyDescent="0.25">
      <c r="A84" s="49"/>
      <c r="B84" s="50"/>
      <c r="C84" s="22"/>
      <c r="D84" s="30"/>
      <c r="E84" s="48"/>
      <c r="F84" s="48"/>
      <c r="G84" s="12"/>
      <c r="H84" s="41"/>
      <c r="I84" s="41">
        <f>SUM(I78:I83)</f>
        <v>25562.100000000006</v>
      </c>
      <c r="J84" s="13"/>
      <c r="L84" s="2"/>
    </row>
    <row r="85" spans="1:12" ht="18.75" x14ac:dyDescent="0.3">
      <c r="A85" s="71" t="s">
        <v>72</v>
      </c>
      <c r="B85" s="72"/>
      <c r="C85" s="72"/>
      <c r="D85" s="72"/>
      <c r="E85" s="72"/>
      <c r="F85" s="72"/>
      <c r="G85" s="73"/>
      <c r="H85" s="19"/>
      <c r="I85" s="5"/>
      <c r="J85" s="13"/>
      <c r="L85" s="2"/>
    </row>
    <row r="86" spans="1:12" ht="37.5" x14ac:dyDescent="0.25">
      <c r="A86" s="9" t="s">
        <v>97</v>
      </c>
      <c r="B86" s="8"/>
      <c r="C86" s="4"/>
      <c r="D86" s="4" t="s">
        <v>127</v>
      </c>
      <c r="E86" s="31"/>
      <c r="F86" s="13">
        <v>5</v>
      </c>
      <c r="G86" s="13" t="s">
        <v>115</v>
      </c>
      <c r="H86" s="33">
        <f>(4212.2+4212.2+2808.4+2828+5651.6+2937.2+2118.2+2937.2+2937.2+5948.8+3718)/F86/2</f>
        <v>4030.9000000000005</v>
      </c>
      <c r="I86" s="13">
        <f t="shared" ref="I86:I91" si="4">F86*H86</f>
        <v>20154.500000000004</v>
      </c>
      <c r="J86" s="13" t="s">
        <v>116</v>
      </c>
      <c r="L86" s="2"/>
    </row>
    <row r="87" spans="1:12" ht="31.5" x14ac:dyDescent="0.25">
      <c r="A87" s="9"/>
      <c r="B87" s="8"/>
      <c r="C87" s="4"/>
      <c r="D87" s="15" t="s">
        <v>175</v>
      </c>
      <c r="E87" s="31"/>
      <c r="F87" s="31">
        <f>1+8+4</f>
        <v>13</v>
      </c>
      <c r="G87" s="13" t="s">
        <v>30</v>
      </c>
      <c r="H87" s="46">
        <f>(798.2+6430.2+3215.4)/F87</f>
        <v>803.36923076923074</v>
      </c>
      <c r="I87" s="59">
        <f t="shared" si="4"/>
        <v>10443.799999999999</v>
      </c>
      <c r="J87" s="13" t="s">
        <v>145</v>
      </c>
      <c r="L87" s="2"/>
    </row>
    <row r="88" spans="1:12" ht="31.5" x14ac:dyDescent="0.25">
      <c r="A88" s="9"/>
      <c r="B88" s="8"/>
      <c r="C88" s="4"/>
      <c r="D88" s="15" t="s">
        <v>183</v>
      </c>
      <c r="E88" s="31"/>
      <c r="F88" s="31">
        <f>1</f>
        <v>1</v>
      </c>
      <c r="G88" s="13" t="s">
        <v>30</v>
      </c>
      <c r="H88" s="41">
        <f>647.4/F88</f>
        <v>647.4</v>
      </c>
      <c r="I88" s="59">
        <f t="shared" si="4"/>
        <v>647.4</v>
      </c>
      <c r="J88" s="13" t="s">
        <v>145</v>
      </c>
      <c r="L88" s="2"/>
    </row>
    <row r="89" spans="1:12" ht="47.25" x14ac:dyDescent="0.25">
      <c r="A89" s="9"/>
      <c r="B89" s="8"/>
      <c r="C89" s="4"/>
      <c r="D89" s="15" t="s">
        <v>184</v>
      </c>
      <c r="E89" s="41"/>
      <c r="F89" s="41">
        <f>1</f>
        <v>1</v>
      </c>
      <c r="G89" s="13" t="s">
        <v>30</v>
      </c>
      <c r="H89" s="41">
        <f>1209/F89</f>
        <v>1209</v>
      </c>
      <c r="I89" s="59">
        <f t="shared" si="4"/>
        <v>1209</v>
      </c>
      <c r="J89" s="13" t="s">
        <v>145</v>
      </c>
      <c r="L89" s="2"/>
    </row>
    <row r="90" spans="1:12" ht="47.25" x14ac:dyDescent="0.25">
      <c r="A90" s="9"/>
      <c r="B90" s="8"/>
      <c r="C90" s="4"/>
      <c r="D90" s="15" t="s">
        <v>176</v>
      </c>
      <c r="E90" s="41"/>
      <c r="F90" s="41">
        <f>1+8+4</f>
        <v>13</v>
      </c>
      <c r="G90" s="13" t="s">
        <v>30</v>
      </c>
      <c r="H90" s="46">
        <f>(1444.8+14431.4+9650)/F90</f>
        <v>1963.5538461538458</v>
      </c>
      <c r="I90" s="59">
        <f t="shared" si="4"/>
        <v>25526.199999999997</v>
      </c>
      <c r="J90" s="13" t="s">
        <v>145</v>
      </c>
      <c r="L90" s="2"/>
    </row>
    <row r="91" spans="1:12" ht="18.75" x14ac:dyDescent="0.25">
      <c r="A91" s="9"/>
      <c r="B91" s="8"/>
      <c r="C91" s="4"/>
      <c r="D91" s="4" t="s">
        <v>114</v>
      </c>
      <c r="E91" s="41"/>
      <c r="F91" s="41">
        <f>3+3+3+3+3+3+6+6+3</f>
        <v>33</v>
      </c>
      <c r="G91" s="13" t="s">
        <v>30</v>
      </c>
      <c r="H91" s="46">
        <f>(1004+1004+1018.6+1018.6+1768.4+1018.6+2123.4+2123.4+1073.4)/F91</f>
        <v>368.25454545454545</v>
      </c>
      <c r="I91" s="41">
        <f t="shared" si="4"/>
        <v>12152.4</v>
      </c>
      <c r="J91" s="13" t="s">
        <v>116</v>
      </c>
      <c r="L91" s="2"/>
    </row>
    <row r="92" spans="1:12" ht="18.75" x14ac:dyDescent="0.25">
      <c r="A92" s="9"/>
      <c r="B92" s="8"/>
      <c r="C92" s="4"/>
      <c r="D92" s="4" t="s">
        <v>149</v>
      </c>
      <c r="E92" s="41"/>
      <c r="F92" s="41"/>
      <c r="G92" s="13" t="s">
        <v>30</v>
      </c>
      <c r="H92" s="41"/>
      <c r="I92" s="41" t="s">
        <v>138</v>
      </c>
      <c r="J92" s="13"/>
      <c r="L92" s="2"/>
    </row>
    <row r="93" spans="1:12" ht="18.75" x14ac:dyDescent="0.25">
      <c r="A93" s="9"/>
      <c r="B93" s="8"/>
      <c r="C93" s="4"/>
      <c r="D93" s="4" t="s">
        <v>158</v>
      </c>
      <c r="E93" s="41"/>
      <c r="F93" s="41"/>
      <c r="G93" s="13" t="s">
        <v>134</v>
      </c>
      <c r="H93" s="41"/>
      <c r="I93" s="41">
        <f>F93*H93</f>
        <v>0</v>
      </c>
      <c r="J93" s="13"/>
      <c r="L93" s="2"/>
    </row>
    <row r="94" spans="1:12" ht="18.75" x14ac:dyDescent="0.25">
      <c r="A94" s="9"/>
      <c r="B94" s="8"/>
      <c r="C94" s="4"/>
      <c r="D94" s="4" t="s">
        <v>159</v>
      </c>
      <c r="E94" s="41"/>
      <c r="F94" s="41"/>
      <c r="G94" s="13" t="s">
        <v>134</v>
      </c>
      <c r="H94" s="41"/>
      <c r="I94" s="41">
        <f>F94*H94</f>
        <v>0</v>
      </c>
      <c r="J94" s="13"/>
      <c r="L94" s="2"/>
    </row>
    <row r="95" spans="1:12" ht="18.75" x14ac:dyDescent="0.25">
      <c r="A95" s="9" t="s">
        <v>22</v>
      </c>
      <c r="B95" s="8"/>
      <c r="C95" s="4"/>
      <c r="D95" s="4" t="s">
        <v>75</v>
      </c>
      <c r="E95" s="41"/>
      <c r="F95" s="41"/>
      <c r="G95" s="13" t="s">
        <v>30</v>
      </c>
      <c r="H95" s="41"/>
      <c r="I95" s="41" t="s">
        <v>138</v>
      </c>
      <c r="J95" s="13"/>
      <c r="L95" s="2"/>
    </row>
    <row r="96" spans="1:12" ht="18.75" x14ac:dyDescent="0.25">
      <c r="A96" s="49"/>
      <c r="B96" s="50"/>
      <c r="C96" s="22"/>
      <c r="D96" s="22"/>
      <c r="E96" s="48"/>
      <c r="F96" s="48"/>
      <c r="G96" s="31"/>
      <c r="H96" s="41"/>
      <c r="I96" s="41">
        <f>SUM(I86:I95)</f>
        <v>70133.3</v>
      </c>
      <c r="J96" s="13"/>
      <c r="L96" s="2"/>
    </row>
    <row r="97" spans="1:12" ht="18.75" x14ac:dyDescent="0.3">
      <c r="A97" s="71" t="s">
        <v>77</v>
      </c>
      <c r="B97" s="72"/>
      <c r="C97" s="72"/>
      <c r="D97" s="72"/>
      <c r="E97" s="72"/>
      <c r="F97" s="72"/>
      <c r="G97" s="73"/>
      <c r="H97" s="5"/>
      <c r="I97" s="5"/>
      <c r="J97" s="13"/>
      <c r="L97" s="2"/>
    </row>
    <row r="98" spans="1:12" ht="38.25" customHeight="1" x14ac:dyDescent="0.25">
      <c r="A98" s="9" t="s">
        <v>23</v>
      </c>
      <c r="B98" s="5"/>
      <c r="C98" s="4"/>
      <c r="D98" s="15" t="s">
        <v>139</v>
      </c>
      <c r="E98" s="41"/>
      <c r="F98" s="41">
        <f>1</f>
        <v>1</v>
      </c>
      <c r="G98" s="13" t="s">
        <v>53</v>
      </c>
      <c r="H98" s="41">
        <f>6374.4/F98</f>
        <v>6374.4</v>
      </c>
      <c r="I98" s="64">
        <f>F98*H98</f>
        <v>6374.4</v>
      </c>
      <c r="J98" s="13"/>
      <c r="L98" s="2"/>
    </row>
    <row r="99" spans="1:12" ht="18.75" x14ac:dyDescent="0.25">
      <c r="A99" s="9" t="s">
        <v>24</v>
      </c>
      <c r="B99" s="5"/>
      <c r="C99" s="4"/>
      <c r="D99" s="4" t="s">
        <v>76</v>
      </c>
      <c r="E99" s="41"/>
      <c r="F99" s="41"/>
      <c r="G99" s="13" t="s">
        <v>53</v>
      </c>
      <c r="H99" s="41" t="s">
        <v>138</v>
      </c>
      <c r="I99" s="41" t="s">
        <v>138</v>
      </c>
      <c r="J99" s="13"/>
      <c r="L99" s="2"/>
    </row>
    <row r="100" spans="1:12" ht="31.5" x14ac:dyDescent="0.25">
      <c r="A100" s="9" t="s">
        <v>125</v>
      </c>
      <c r="B100" s="5"/>
      <c r="C100" s="4"/>
      <c r="D100" s="15" t="s">
        <v>167</v>
      </c>
      <c r="E100" s="41"/>
      <c r="F100" s="41">
        <f>4</f>
        <v>4</v>
      </c>
      <c r="G100" s="13" t="s">
        <v>53</v>
      </c>
      <c r="H100" s="41">
        <f>5531.2/F100</f>
        <v>1382.8</v>
      </c>
      <c r="I100" s="64">
        <f>F100*H100</f>
        <v>5531.2</v>
      </c>
      <c r="J100" s="13" t="s">
        <v>118</v>
      </c>
      <c r="L100" s="2"/>
    </row>
    <row r="101" spans="1:12" ht="18.75" x14ac:dyDescent="0.25">
      <c r="A101" s="9"/>
      <c r="B101" s="5"/>
      <c r="C101" s="4"/>
      <c r="D101" s="15" t="s">
        <v>156</v>
      </c>
      <c r="E101" s="41"/>
      <c r="F101" s="41">
        <f>2</f>
        <v>2</v>
      </c>
      <c r="G101" s="13" t="s">
        <v>53</v>
      </c>
      <c r="H101" s="46">
        <f>161.8/F101</f>
        <v>80.900000000000006</v>
      </c>
      <c r="I101" s="41">
        <f>F101*H101</f>
        <v>161.80000000000001</v>
      </c>
      <c r="J101" s="13" t="s">
        <v>116</v>
      </c>
      <c r="L101" s="2"/>
    </row>
    <row r="102" spans="1:12" ht="18.75" x14ac:dyDescent="0.25">
      <c r="A102" s="9"/>
      <c r="B102" s="5"/>
      <c r="C102" s="4"/>
      <c r="D102" s="15" t="s">
        <v>106</v>
      </c>
      <c r="E102" s="32"/>
      <c r="F102" s="13">
        <f>4+4+2+4+6+4+3+6+6+12+3+5</f>
        <v>59</v>
      </c>
      <c r="G102" s="13" t="s">
        <v>53</v>
      </c>
      <c r="H102" s="33">
        <f>(651+651+327.2+654+1014.8+686.2+507.8+1029+1029+2073.4+518+864.2)/F102</f>
        <v>169.5864406779661</v>
      </c>
      <c r="I102" s="13">
        <f t="shared" ref="I102" si="5">F102*H102</f>
        <v>10005.6</v>
      </c>
      <c r="J102" s="13" t="s">
        <v>116</v>
      </c>
      <c r="L102" s="2"/>
    </row>
    <row r="103" spans="1:12" ht="56.25" x14ac:dyDescent="0.25">
      <c r="A103" s="9" t="s">
        <v>107</v>
      </c>
      <c r="B103" s="5"/>
      <c r="C103" s="4"/>
      <c r="D103" s="15" t="s">
        <v>123</v>
      </c>
      <c r="E103" s="32"/>
      <c r="F103" s="13">
        <f>20+20+20+20+20+20+20+20+20+20+20+20</f>
        <v>240</v>
      </c>
      <c r="G103" s="13" t="s">
        <v>108</v>
      </c>
      <c r="H103" s="33">
        <f>(878.2+878.2+878.2+882.2+882.2+916+882.2+916+916+929.2+929.2+929.2)/F103</f>
        <v>45.070000000000007</v>
      </c>
      <c r="I103" s="13">
        <f>F103*H103</f>
        <v>10816.800000000001</v>
      </c>
      <c r="J103" s="13" t="s">
        <v>116</v>
      </c>
      <c r="L103" s="2"/>
    </row>
    <row r="104" spans="1:12" ht="18.75" x14ac:dyDescent="0.25">
      <c r="A104" s="49"/>
      <c r="B104" s="22"/>
      <c r="C104" s="22"/>
      <c r="D104" s="30"/>
      <c r="E104" s="51"/>
      <c r="F104" s="52"/>
      <c r="G104" s="31"/>
      <c r="H104" s="31"/>
      <c r="I104" s="13">
        <f>SUM(I98:I103)</f>
        <v>32889.800000000003</v>
      </c>
      <c r="J104" s="13"/>
      <c r="L104" s="2"/>
    </row>
    <row r="105" spans="1:12" ht="18.75" x14ac:dyDescent="0.25">
      <c r="A105" s="78" t="s">
        <v>90</v>
      </c>
      <c r="B105" s="79"/>
      <c r="C105" s="79"/>
      <c r="D105" s="79"/>
      <c r="E105" s="79"/>
      <c r="F105" s="79"/>
      <c r="G105" s="80"/>
      <c r="H105" s="12"/>
      <c r="I105" s="5"/>
      <c r="J105" s="13"/>
      <c r="L105" s="2"/>
    </row>
    <row r="106" spans="1:12" ht="18.75" x14ac:dyDescent="0.25">
      <c r="A106" s="26"/>
      <c r="B106" s="27"/>
      <c r="C106" s="27"/>
      <c r="D106" s="36" t="s">
        <v>117</v>
      </c>
      <c r="E106" s="41" t="s">
        <v>138</v>
      </c>
      <c r="F106" s="41" t="s">
        <v>138</v>
      </c>
      <c r="G106" s="38" t="s">
        <v>31</v>
      </c>
      <c r="H106" s="41" t="s">
        <v>138</v>
      </c>
      <c r="I106" s="41" t="s">
        <v>138</v>
      </c>
      <c r="J106" s="13"/>
      <c r="L106" s="2"/>
    </row>
    <row r="107" spans="1:12" ht="63" x14ac:dyDescent="0.25">
      <c r="A107" s="9" t="s">
        <v>88</v>
      </c>
      <c r="B107" s="22"/>
      <c r="C107" s="22"/>
      <c r="D107" s="23" t="s">
        <v>119</v>
      </c>
      <c r="E107" s="37">
        <v>744</v>
      </c>
      <c r="F107" s="13">
        <v>744</v>
      </c>
      <c r="G107" s="31" t="s">
        <v>89</v>
      </c>
      <c r="H107" s="31">
        <v>4.8</v>
      </c>
      <c r="I107" s="13">
        <f>F107*H107*12</f>
        <v>42854.399999999994</v>
      </c>
      <c r="J107" s="13" t="s">
        <v>116</v>
      </c>
      <c r="L107" s="2"/>
    </row>
    <row r="108" spans="1:12" ht="18.75" x14ac:dyDescent="0.25">
      <c r="A108" s="49"/>
      <c r="B108" s="22"/>
      <c r="C108" s="22"/>
      <c r="D108" s="30"/>
      <c r="E108" s="51"/>
      <c r="F108" s="52"/>
      <c r="G108" s="31"/>
      <c r="H108" s="31"/>
      <c r="I108" s="13">
        <f>SUM(I107)</f>
        <v>42854.399999999994</v>
      </c>
      <c r="J108" s="13"/>
      <c r="L108" s="2"/>
    </row>
    <row r="109" spans="1:12" ht="18.75" x14ac:dyDescent="0.3">
      <c r="A109" s="71" t="s">
        <v>78</v>
      </c>
      <c r="B109" s="72"/>
      <c r="C109" s="72"/>
      <c r="D109" s="72"/>
      <c r="E109" s="72"/>
      <c r="F109" s="72"/>
      <c r="G109" s="73"/>
      <c r="H109" s="19"/>
      <c r="I109" s="5"/>
      <c r="J109" s="13"/>
      <c r="L109" s="2"/>
    </row>
    <row r="110" spans="1:12" ht="46.5" customHeight="1" x14ac:dyDescent="0.3">
      <c r="A110" s="34" t="s">
        <v>129</v>
      </c>
      <c r="B110" s="24"/>
      <c r="C110" s="24"/>
      <c r="D110" s="47" t="s">
        <v>165</v>
      </c>
      <c r="E110" s="31">
        <v>80</v>
      </c>
      <c r="F110" s="31">
        <v>80</v>
      </c>
      <c r="G110" s="13" t="s">
        <v>137</v>
      </c>
      <c r="H110" s="31">
        <v>76.900000000000006</v>
      </c>
      <c r="I110" s="31">
        <f>F110*H110*4</f>
        <v>24608</v>
      </c>
      <c r="J110" s="13" t="s">
        <v>116</v>
      </c>
      <c r="L110" s="2"/>
    </row>
    <row r="111" spans="1:12" ht="46.5" customHeight="1" x14ac:dyDescent="0.3">
      <c r="A111" s="34"/>
      <c r="B111" s="24"/>
      <c r="C111" s="45"/>
      <c r="D111" s="35" t="s">
        <v>128</v>
      </c>
      <c r="E111" s="31">
        <v>160</v>
      </c>
      <c r="F111" s="31">
        <v>160</v>
      </c>
      <c r="G111" s="13" t="s">
        <v>137</v>
      </c>
      <c r="H111" s="31">
        <v>26</v>
      </c>
      <c r="I111" s="31">
        <f>F111*H111*4</f>
        <v>16640</v>
      </c>
      <c r="J111" s="13" t="s">
        <v>116</v>
      </c>
      <c r="L111" s="2"/>
    </row>
    <row r="112" spans="1:12" ht="18.75" x14ac:dyDescent="0.25">
      <c r="A112" s="9" t="s">
        <v>25</v>
      </c>
      <c r="B112" s="5"/>
      <c r="C112" s="4"/>
      <c r="D112" s="4" t="s">
        <v>74</v>
      </c>
      <c r="E112" s="41" t="s">
        <v>138</v>
      </c>
      <c r="F112" s="41" t="s">
        <v>138</v>
      </c>
      <c r="G112" s="14" t="s">
        <v>53</v>
      </c>
      <c r="H112" s="41" t="s">
        <v>138</v>
      </c>
      <c r="I112" s="41" t="s">
        <v>138</v>
      </c>
      <c r="J112" s="13"/>
      <c r="L112" s="2"/>
    </row>
    <row r="113" spans="1:12" ht="47.25" x14ac:dyDescent="0.25">
      <c r="A113" s="9" t="s">
        <v>26</v>
      </c>
      <c r="B113" s="5"/>
      <c r="C113" s="4"/>
      <c r="D113" s="15" t="s">
        <v>28</v>
      </c>
      <c r="E113" s="41" t="s">
        <v>138</v>
      </c>
      <c r="F113" s="41" t="s">
        <v>138</v>
      </c>
      <c r="G113" s="14" t="s">
        <v>53</v>
      </c>
      <c r="H113" s="41" t="s">
        <v>138</v>
      </c>
      <c r="I113" s="41" t="s">
        <v>138</v>
      </c>
      <c r="J113" s="13"/>
      <c r="L113" s="2"/>
    </row>
    <row r="114" spans="1:12" ht="31.5" x14ac:dyDescent="0.25">
      <c r="A114" s="9" t="s">
        <v>27</v>
      </c>
      <c r="B114" s="5"/>
      <c r="C114" s="4"/>
      <c r="D114" s="15" t="s">
        <v>73</v>
      </c>
      <c r="E114" s="41" t="s">
        <v>138</v>
      </c>
      <c r="F114" s="41" t="s">
        <v>138</v>
      </c>
      <c r="G114" s="14" t="s">
        <v>53</v>
      </c>
      <c r="H114" s="41" t="s">
        <v>138</v>
      </c>
      <c r="I114" s="41" t="s">
        <v>138</v>
      </c>
      <c r="J114" s="13"/>
      <c r="L114" s="2"/>
    </row>
    <row r="115" spans="1:12" ht="18.75" x14ac:dyDescent="0.25">
      <c r="A115" s="49"/>
      <c r="B115" s="22"/>
      <c r="C115" s="22"/>
      <c r="D115" s="30"/>
      <c r="E115" s="48"/>
      <c r="F115" s="48"/>
      <c r="G115" s="12"/>
      <c r="H115" s="53"/>
      <c r="I115" s="53">
        <f>SUM(I110:I114)</f>
        <v>41248</v>
      </c>
      <c r="J115" s="54"/>
      <c r="L115" s="2"/>
    </row>
    <row r="116" spans="1:12" ht="18.75" x14ac:dyDescent="0.3">
      <c r="A116" s="71" t="s">
        <v>83</v>
      </c>
      <c r="B116" s="72"/>
      <c r="C116" s="72"/>
      <c r="D116" s="72"/>
      <c r="E116" s="72"/>
      <c r="F116" s="72"/>
      <c r="G116" s="73"/>
      <c r="H116" s="2"/>
      <c r="I116" s="2"/>
      <c r="J116" s="2"/>
      <c r="K116" s="2"/>
      <c r="L116" s="2"/>
    </row>
    <row r="117" spans="1:12" ht="48" x14ac:dyDescent="0.3">
      <c r="A117" s="6" t="s">
        <v>65</v>
      </c>
      <c r="B117" s="6"/>
      <c r="C117" s="4"/>
      <c r="D117" s="15" t="s">
        <v>84</v>
      </c>
      <c r="E117" s="41"/>
      <c r="F117" s="41">
        <f>1.04</f>
        <v>1.04</v>
      </c>
      <c r="G117" s="13" t="s">
        <v>113</v>
      </c>
      <c r="H117" s="46">
        <f>792/F117</f>
        <v>761.53846153846155</v>
      </c>
      <c r="I117" s="59">
        <f>F117*H117</f>
        <v>792</v>
      </c>
      <c r="J117" s="13" t="s">
        <v>121</v>
      </c>
      <c r="L117" s="2"/>
    </row>
    <row r="118" spans="1:12" ht="32.25" x14ac:dyDescent="0.3">
      <c r="A118" s="28"/>
      <c r="B118" s="29"/>
      <c r="C118" s="22"/>
      <c r="D118" s="30" t="s">
        <v>109</v>
      </c>
      <c r="E118" s="41">
        <v>1</v>
      </c>
      <c r="F118" s="41">
        <v>1</v>
      </c>
      <c r="G118" s="13" t="s">
        <v>110</v>
      </c>
      <c r="H118" s="41">
        <v>13700</v>
      </c>
      <c r="I118" s="44">
        <f>F118*H118</f>
        <v>13700</v>
      </c>
      <c r="J118" s="39" t="s">
        <v>118</v>
      </c>
      <c r="L118" s="2"/>
    </row>
    <row r="119" spans="1:12" ht="18.75" x14ac:dyDescent="0.3">
      <c r="A119" s="28"/>
      <c r="B119" s="29"/>
      <c r="C119" s="22"/>
      <c r="D119" s="30"/>
      <c r="E119" s="48"/>
      <c r="F119" s="48"/>
      <c r="G119" s="31"/>
      <c r="H119" s="48"/>
      <c r="I119" s="55">
        <f>SUM(I117:I118)</f>
        <v>14492</v>
      </c>
      <c r="J119" s="56"/>
      <c r="L119" s="2"/>
    </row>
    <row r="120" spans="1:12" ht="18.75" x14ac:dyDescent="0.3">
      <c r="A120" s="71" t="s">
        <v>98</v>
      </c>
      <c r="B120" s="72"/>
      <c r="C120" s="72"/>
      <c r="D120" s="72"/>
      <c r="E120" s="72"/>
      <c r="F120" s="72"/>
      <c r="G120" s="73"/>
      <c r="H120" s="71"/>
      <c r="I120" s="72"/>
      <c r="J120" s="72"/>
      <c r="L120" s="2"/>
    </row>
    <row r="121" spans="1:12" ht="32.25" x14ac:dyDescent="0.3">
      <c r="A121" s="34" t="s">
        <v>144</v>
      </c>
      <c r="B121" s="24"/>
      <c r="C121" s="24"/>
      <c r="D121" s="40" t="s">
        <v>131</v>
      </c>
      <c r="E121" s="13"/>
      <c r="F121" s="13"/>
      <c r="G121" s="13" t="s">
        <v>132</v>
      </c>
      <c r="H121" s="13"/>
      <c r="I121" s="61"/>
      <c r="J121" s="13"/>
      <c r="L121" s="2"/>
    </row>
    <row r="122" spans="1:12" ht="48" x14ac:dyDescent="0.3">
      <c r="A122" s="24"/>
      <c r="B122" s="24"/>
      <c r="C122" s="24"/>
      <c r="D122" s="40" t="s">
        <v>133</v>
      </c>
      <c r="E122" s="41"/>
      <c r="F122" s="41"/>
      <c r="G122" s="13" t="s">
        <v>134</v>
      </c>
      <c r="H122" s="41"/>
      <c r="I122" s="59"/>
      <c r="J122" s="13"/>
      <c r="L122" s="2"/>
    </row>
    <row r="123" spans="1:12" ht="32.25" x14ac:dyDescent="0.3">
      <c r="A123" s="24"/>
      <c r="B123" s="24"/>
      <c r="C123" s="24"/>
      <c r="D123" s="40" t="s">
        <v>173</v>
      </c>
      <c r="E123" s="13"/>
      <c r="F123" s="13"/>
      <c r="G123" s="13" t="s">
        <v>136</v>
      </c>
      <c r="H123" s="13"/>
      <c r="I123" s="61"/>
      <c r="J123" s="13"/>
      <c r="L123" s="2"/>
    </row>
    <row r="124" spans="1:12" ht="32.25" x14ac:dyDescent="0.3">
      <c r="A124" s="24"/>
      <c r="B124" s="24"/>
      <c r="C124" s="24"/>
      <c r="D124" s="40" t="s">
        <v>174</v>
      </c>
      <c r="E124" s="13"/>
      <c r="F124" s="13">
        <f>15+30</f>
        <v>45</v>
      </c>
      <c r="G124" s="13" t="s">
        <v>136</v>
      </c>
      <c r="H124" s="33">
        <f>(687+1375)/F124</f>
        <v>45.822222222222223</v>
      </c>
      <c r="I124" s="61">
        <f t="shared" ref="I124" si="6">F124*H124</f>
        <v>2062</v>
      </c>
      <c r="J124" s="13" t="s">
        <v>122</v>
      </c>
      <c r="L124" s="2"/>
    </row>
    <row r="125" spans="1:12" ht="32.25" x14ac:dyDescent="0.3">
      <c r="A125" s="24"/>
      <c r="B125" s="24"/>
      <c r="C125" s="24"/>
      <c r="D125" s="40" t="s">
        <v>135</v>
      </c>
      <c r="E125" s="13"/>
      <c r="F125" s="13"/>
      <c r="G125" s="13" t="s">
        <v>136</v>
      </c>
      <c r="H125" s="13"/>
      <c r="I125" s="61"/>
      <c r="J125" s="13"/>
      <c r="L125" s="2"/>
    </row>
    <row r="126" spans="1:12" ht="18.75" x14ac:dyDescent="0.3">
      <c r="A126" s="24"/>
      <c r="B126" s="24"/>
      <c r="C126" s="24"/>
      <c r="D126" s="40" t="s">
        <v>187</v>
      </c>
      <c r="E126" s="13"/>
      <c r="F126" s="13">
        <v>8</v>
      </c>
      <c r="G126" s="13" t="s">
        <v>134</v>
      </c>
      <c r="H126" s="33">
        <f>7274/F126</f>
        <v>909.25</v>
      </c>
      <c r="I126" s="61">
        <f t="shared" ref="I126" si="7">F126*H126</f>
        <v>7274</v>
      </c>
      <c r="J126" s="13" t="s">
        <v>121</v>
      </c>
      <c r="L126" s="2"/>
    </row>
    <row r="127" spans="1:12" ht="18.75" x14ac:dyDescent="0.3">
      <c r="A127" s="34" t="s">
        <v>152</v>
      </c>
      <c r="B127" s="14"/>
      <c r="C127" s="14"/>
      <c r="D127" s="40" t="s">
        <v>179</v>
      </c>
      <c r="E127" s="13"/>
      <c r="F127" s="13">
        <f>1</f>
        <v>1</v>
      </c>
      <c r="G127" s="13" t="s">
        <v>31</v>
      </c>
      <c r="H127" s="13"/>
      <c r="I127" s="61">
        <f>F127*H127</f>
        <v>0</v>
      </c>
      <c r="J127" s="14" t="s">
        <v>121</v>
      </c>
      <c r="L127" s="2"/>
    </row>
    <row r="128" spans="1:12" ht="18.75" x14ac:dyDescent="0.3">
      <c r="A128" s="34"/>
      <c r="B128" s="14"/>
      <c r="C128" s="14"/>
      <c r="D128" s="40"/>
      <c r="E128" s="13"/>
      <c r="F128" s="13"/>
      <c r="G128" s="13"/>
      <c r="H128" s="13"/>
      <c r="I128" s="13">
        <f>SUM(I121:I127)</f>
        <v>9336</v>
      </c>
      <c r="J128" s="14"/>
      <c r="L128" s="2"/>
    </row>
    <row r="129" spans="1:12" ht="15.75" x14ac:dyDescent="0.25">
      <c r="A129" s="62" t="s">
        <v>182</v>
      </c>
      <c r="B129" s="14"/>
      <c r="C129" s="14"/>
      <c r="D129" s="43"/>
      <c r="E129" s="14"/>
      <c r="F129" s="14"/>
      <c r="G129" s="38"/>
      <c r="H129" s="14"/>
      <c r="I129" s="65">
        <f>I5+I6+I7+I15+I16+I21+I22+I23+I24+I29+I30+I32+I41+I42+I47+I64+I65+I66+I79+I82+I87+I88+I89+I90+I98+I100+I117+I121+I122+I123+I124+I125+I126+I127</f>
        <v>558020.20000000007</v>
      </c>
      <c r="J129" s="14"/>
      <c r="L129" s="2"/>
    </row>
    <row r="130" spans="1:12" ht="15.75" x14ac:dyDescent="0.25">
      <c r="A130" s="57" t="s">
        <v>181</v>
      </c>
      <c r="B130" s="25"/>
      <c r="C130" s="25"/>
      <c r="D130" s="43"/>
      <c r="E130" s="13"/>
      <c r="F130" s="13"/>
      <c r="G130" s="38"/>
      <c r="H130" s="13"/>
      <c r="I130" s="58">
        <f>I17+I39+I53+I69+I84+I96+I104+I108+I115+I119+I128</f>
        <v>894865.00000000012</v>
      </c>
      <c r="J130" s="14"/>
      <c r="K130" s="2"/>
      <c r="L130" s="2"/>
    </row>
    <row r="131" spans="1:12" ht="99.75" customHeight="1" x14ac:dyDescent="0.25">
      <c r="A131" s="68" t="s">
        <v>105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63"/>
      <c r="I134" s="2"/>
      <c r="J134" s="63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63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63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</sheetData>
  <mergeCells count="16">
    <mergeCell ref="A131:J131"/>
    <mergeCell ref="A2:J2"/>
    <mergeCell ref="A120:G120"/>
    <mergeCell ref="H120:J120"/>
    <mergeCell ref="I1:J1"/>
    <mergeCell ref="A77:G77"/>
    <mergeCell ref="A97:G97"/>
    <mergeCell ref="A116:G116"/>
    <mergeCell ref="A40:G40"/>
    <mergeCell ref="A18:G18"/>
    <mergeCell ref="A4:G4"/>
    <mergeCell ref="A105:G105"/>
    <mergeCell ref="A54:G54"/>
    <mergeCell ref="A70:G70"/>
    <mergeCell ref="A85:G85"/>
    <mergeCell ref="A109:G109"/>
  </mergeCells>
  <pageMargins left="0.78740157480314965" right="0.70866141732283472" top="0" bottom="0.19685039370078741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2025-01-30T07:34:18Z</cp:lastPrinted>
  <dcterms:created xsi:type="dcterms:W3CDTF">2017-05-29T12:14:13Z</dcterms:created>
  <dcterms:modified xsi:type="dcterms:W3CDTF">2025-03-14T04:44:27Z</dcterms:modified>
</cp:coreProperties>
</file>