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82" i="1" l="1"/>
  <c r="F100" i="1" l="1"/>
  <c r="H100" i="1" s="1"/>
  <c r="F112" i="1"/>
  <c r="H112" i="1" s="1"/>
  <c r="F164" i="1"/>
  <c r="H164" i="1" s="1"/>
  <c r="F178" i="1"/>
  <c r="H178" i="1" s="1"/>
  <c r="F92" i="1"/>
  <c r="H92" i="1" s="1"/>
  <c r="F146" i="1"/>
  <c r="H146" i="1" s="1"/>
  <c r="F143" i="1"/>
  <c r="H143" i="1" s="1"/>
  <c r="F141" i="1"/>
  <c r="H141" i="1" s="1"/>
  <c r="F140" i="1"/>
  <c r="H140" i="1" s="1"/>
  <c r="I100" i="1" l="1"/>
  <c r="I112" i="1"/>
  <c r="F120" i="1"/>
  <c r="H120" i="1" s="1"/>
  <c r="F123" i="1"/>
  <c r="H123" i="1" s="1"/>
  <c r="F52" i="1" l="1"/>
  <c r="H52" i="1" s="1"/>
  <c r="I52" i="1" s="1"/>
  <c r="F116" i="1"/>
  <c r="H116" i="1" s="1"/>
  <c r="F108" i="1"/>
  <c r="H108" i="1" s="1"/>
  <c r="F142" i="1"/>
  <c r="H142" i="1" s="1"/>
  <c r="F78" i="1"/>
  <c r="H78" i="1" s="1"/>
  <c r="H86" i="1"/>
  <c r="I86" i="1" s="1"/>
  <c r="F134" i="1" l="1"/>
  <c r="H134" i="1" s="1"/>
  <c r="F103" i="1"/>
  <c r="H103" i="1" s="1"/>
  <c r="I141" i="1"/>
  <c r="I78" i="1"/>
  <c r="I103" i="1" l="1"/>
  <c r="F54" i="1"/>
  <c r="H54" i="1" s="1"/>
  <c r="F105" i="1"/>
  <c r="H105" i="1" s="1"/>
  <c r="F5" i="1" l="1"/>
  <c r="F38" i="1"/>
  <c r="H38" i="1" s="1"/>
  <c r="F104" i="1"/>
  <c r="H104" i="1" s="1"/>
  <c r="F106" i="1"/>
  <c r="H106" i="1" s="1"/>
  <c r="F93" i="1"/>
  <c r="H93" i="1" s="1"/>
  <c r="F88" i="1"/>
  <c r="H88" i="1" s="1"/>
  <c r="F102" i="1"/>
  <c r="H102" i="1" s="1"/>
  <c r="I104" i="1" l="1"/>
  <c r="I102" i="1"/>
  <c r="H5" i="1"/>
  <c r="I5" i="1" s="1"/>
  <c r="I106" i="1"/>
  <c r="F27" i="1"/>
  <c r="H27" i="1" s="1"/>
  <c r="F175" i="1"/>
  <c r="F174" i="1"/>
  <c r="H174" i="1" s="1"/>
  <c r="F173" i="1"/>
  <c r="H89" i="1"/>
  <c r="F89" i="1"/>
  <c r="I180" i="1"/>
  <c r="H179" i="1"/>
  <c r="I179" i="1" s="1"/>
  <c r="H172" i="1"/>
  <c r="I172" i="1" s="1"/>
  <c r="F171" i="1"/>
  <c r="H56" i="1"/>
  <c r="I56" i="1" s="1"/>
  <c r="F55" i="1"/>
  <c r="H55" i="1" s="1"/>
  <c r="I54" i="1"/>
  <c r="F68" i="1"/>
  <c r="H68" i="1" s="1"/>
  <c r="H139" i="1"/>
  <c r="I139" i="1" s="1"/>
  <c r="H138" i="1"/>
  <c r="I138" i="1" s="1"/>
  <c r="F137" i="1"/>
  <c r="F136" i="1"/>
  <c r="H136" i="1" s="1"/>
  <c r="H135" i="1"/>
  <c r="I135" i="1" s="1"/>
  <c r="F70" i="1"/>
  <c r="H70" i="1" s="1"/>
  <c r="F177" i="1"/>
  <c r="H81" i="1"/>
  <c r="F80" i="1"/>
  <c r="H80" i="1" s="1"/>
  <c r="F79" i="1"/>
  <c r="H79" i="1" s="1"/>
  <c r="H65" i="1"/>
  <c r="I65" i="1" s="1"/>
  <c r="F64" i="1"/>
  <c r="H64" i="1" s="1"/>
  <c r="F51" i="1"/>
  <c r="H51" i="1" s="1"/>
  <c r="F49" i="1"/>
  <c r="H48" i="1"/>
  <c r="I48" i="1" s="1"/>
  <c r="H40" i="1"/>
  <c r="H41" i="1"/>
  <c r="H47" i="1"/>
  <c r="H46" i="1"/>
  <c r="H45" i="1"/>
  <c r="H44" i="1"/>
  <c r="I44" i="1" s="1"/>
  <c r="I47" i="1"/>
  <c r="I46" i="1"/>
  <c r="I45" i="1"/>
  <c r="H43" i="1"/>
  <c r="H42" i="1"/>
  <c r="F50" i="1"/>
  <c r="H63" i="1"/>
  <c r="I63" i="1" s="1"/>
  <c r="F62" i="1"/>
  <c r="H62" i="1" s="1"/>
  <c r="F60" i="1"/>
  <c r="H59" i="1"/>
  <c r="I59" i="1" s="1"/>
  <c r="F58" i="1"/>
  <c r="H58" i="1" s="1"/>
  <c r="I58" i="1" s="1"/>
  <c r="F72" i="1"/>
  <c r="F71" i="1"/>
  <c r="H71" i="1" s="1"/>
  <c r="F39" i="1"/>
  <c r="H39" i="1" s="1"/>
  <c r="F84" i="1"/>
  <c r="H84" i="1" s="1"/>
  <c r="F170" i="1"/>
  <c r="F169" i="1"/>
  <c r="H169" i="1" s="1"/>
  <c r="H165" i="1"/>
  <c r="H167" i="1"/>
  <c r="F166" i="1"/>
  <c r="H166" i="1" s="1"/>
  <c r="H168" i="1"/>
  <c r="H20" i="1"/>
  <c r="H21" i="1"/>
  <c r="I146" i="1"/>
  <c r="H72" i="1" l="1"/>
  <c r="I72" i="1" s="1"/>
  <c r="H49" i="1"/>
  <c r="I49" i="1" s="1"/>
  <c r="I64" i="1"/>
  <c r="I80" i="1"/>
  <c r="H171" i="1"/>
  <c r="I171" i="1" s="1"/>
  <c r="I169" i="1"/>
  <c r="H170" i="1"/>
  <c r="I170" i="1" s="1"/>
  <c r="I71" i="1"/>
  <c r="H60" i="1"/>
  <c r="I60" i="1" s="1"/>
  <c r="I62" i="1"/>
  <c r="H50" i="1"/>
  <c r="I50" i="1" s="1"/>
  <c r="I51" i="1"/>
  <c r="I79" i="1"/>
  <c r="H177" i="1"/>
  <c r="I177" i="1" s="1"/>
  <c r="I70" i="1"/>
  <c r="H137" i="1"/>
  <c r="I137" i="1" s="1"/>
  <c r="I68" i="1"/>
  <c r="I55" i="1"/>
  <c r="H173" i="1"/>
  <c r="I173" i="1" s="1"/>
  <c r="I174" i="1"/>
  <c r="H175" i="1"/>
  <c r="I175" i="1" s="1"/>
  <c r="I93" i="1"/>
  <c r="F121" i="1"/>
  <c r="H121" i="1" s="1"/>
  <c r="F113" i="1"/>
  <c r="H113" i="1" s="1"/>
  <c r="F126" i="1"/>
  <c r="F85" i="1"/>
  <c r="H85" i="1" s="1"/>
  <c r="F176" i="1"/>
  <c r="H176" i="1" s="1"/>
  <c r="F163" i="1"/>
  <c r="H163" i="1" s="1"/>
  <c r="F162" i="1"/>
  <c r="H162" i="1" s="1"/>
  <c r="I121" i="1" l="1"/>
  <c r="I176" i="1"/>
  <c r="H126" i="1"/>
  <c r="I126" i="1" s="1"/>
  <c r="I113" i="1"/>
  <c r="I85" i="1" l="1"/>
  <c r="I84" i="1"/>
  <c r="I148" i="1"/>
  <c r="I147" i="1"/>
  <c r="F94" i="1"/>
  <c r="H94" i="1" s="1"/>
  <c r="I149" i="1" l="1"/>
  <c r="I39" i="1"/>
  <c r="I81" i="1"/>
  <c r="I108" i="1"/>
  <c r="I43" i="1"/>
  <c r="I88" i="1" l="1"/>
  <c r="I168" i="1"/>
  <c r="I41" i="1"/>
  <c r="F83" i="1"/>
  <c r="H83" i="1" s="1"/>
  <c r="I20" i="1" l="1"/>
  <c r="I42" i="1"/>
  <c r="I15" i="1" l="1"/>
  <c r="I116" i="1"/>
  <c r="I21" i="1"/>
  <c r="I27" i="1"/>
  <c r="I165" i="1"/>
  <c r="I118" i="1" l="1"/>
  <c r="I162" i="1"/>
  <c r="F161" i="1"/>
  <c r="I161" i="1" s="1"/>
  <c r="F82" i="1"/>
  <c r="H82" i="1" s="1"/>
  <c r="I164" i="1" l="1"/>
  <c r="I163" i="1"/>
  <c r="I40" i="1" l="1"/>
  <c r="I166" i="1"/>
  <c r="I167" i="1"/>
  <c r="I38" i="1"/>
  <c r="I105" i="1"/>
  <c r="I92" i="1"/>
  <c r="I178" i="1"/>
  <c r="I120" i="1"/>
  <c r="I142" i="1"/>
  <c r="I136" i="1"/>
  <c r="I134" i="1"/>
  <c r="I110" i="1" l="1"/>
  <c r="I181" i="1"/>
  <c r="I35" i="1"/>
  <c r="I75" i="1"/>
  <c r="I94" i="1"/>
  <c r="I89" i="1"/>
  <c r="I123" i="1" l="1"/>
  <c r="I129" i="1" s="1"/>
  <c r="I143" i="1" l="1"/>
  <c r="I158" i="1"/>
  <c r="I159" i="1" s="1"/>
  <c r="I82" i="1" l="1"/>
  <c r="I83" i="1" l="1"/>
  <c r="I98" i="1" s="1"/>
  <c r="I140" i="1"/>
  <c r="I144" i="1" s="1"/>
  <c r="I151" i="1" l="1"/>
  <c r="I155" i="1" s="1"/>
  <c r="I183" i="1" s="1"/>
</calcChain>
</file>

<file path=xl/sharedStrings.xml><?xml version="1.0" encoding="utf-8"?>
<sst xmlns="http://schemas.openxmlformats.org/spreadsheetml/2006/main" count="659" uniqueCount="252">
  <si>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</si>
  <si>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</si>
  <si>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</si>
  <si>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</si>
  <si>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</si>
  <si>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</si>
  <si>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</si>
  <si>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</si>
  <si>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</si>
  <si>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</si>
  <si>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</si>
  <si>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</si>
  <si>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</si>
  <si>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</si>
  <si>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</si>
  <si>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</si>
  <si>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</si>
  <si>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</si>
  <si>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</si>
  <si>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</si>
  <si>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</si>
  <si>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</si>
  <si>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</si>
  <si>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</si>
  <si>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</si>
  <si>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</si>
  <si>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</si>
  <si>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</si>
  <si>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</si>
  <si>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</si>
  <si>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</si>
  <si>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</si>
  <si>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</si>
  <si>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</si>
  <si>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</si>
  <si>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</si>
  <si>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</si>
  <si>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</si>
  <si>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</si>
  <si>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</si>
  <si>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</si>
  <si>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</si>
  <si>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</si>
  <si>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</si>
  <si>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</si>
  <si>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</si>
  <si>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</si>
  <si>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</si>
  <si>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</si>
  <si>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</si>
  <si>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</si>
  <si>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</si>
  <si>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</si>
  <si>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</si>
  <si>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</si>
  <si>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</si>
  <si>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</si>
  <si>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</si>
  <si>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</si>
  <si>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</si>
  <si>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</si>
  <si>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</si>
  <si>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</si>
  <si>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</si>
  <si>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</si>
  <si>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</si>
  <si>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</si>
  <si>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</si>
  <si>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</si>
  <si>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</si>
  <si>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</si>
  <si>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</si>
  <si>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</si>
  <si>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</si>
  <si>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</si>
  <si>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</si>
  <si>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</si>
  <si>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</si>
  <si>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</si>
  <si>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</si>
  <si>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</si>
  <si>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</si>
  <si>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</si>
  <si>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</si>
  <si>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</si>
  <si>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</si>
  <si>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</si>
  <si>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</si>
  <si>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</si>
  <si>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</si>
  <si>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</si>
  <si>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</si>
  <si>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</si>
  <si>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</si>
  <si>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</si>
  <si>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</si>
  <si>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</si>
  <si>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</si>
  <si>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</si>
  <si>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</si>
  <si>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</si>
  <si>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</si>
  <si>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</si>
  <si>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</si>
  <si>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</si>
  <si>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</si>
  <si>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</si>
  <si>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</si>
  <si>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</si>
  <si>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</si>
  <si>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</si>
  <si>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</si>
  <si>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</si>
  <si>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</si>
  <si>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</si>
  <si>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</si>
  <si>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</si>
  <si>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</si>
  <si>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</si>
  <si>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</si>
  <si>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</si>
  <si>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</si>
  <si>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</si>
  <si>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</si>
  <si>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</si>
  <si>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</si>
  <si>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</si>
  <si>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</si>
  <si>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</si>
  <si>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</si>
  <si>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</si>
  <si>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</si>
  <si>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</si>
  <si>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</si>
  <si>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</si>
  <si>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</si>
  <si>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</si>
  <si>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</si>
  <si>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</si>
  <si>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</si>
  <si>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</si>
  <si>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</si>
  <si>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</si>
  <si>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</si>
  <si>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</si>
  <si>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</si>
  <si>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</si>
  <si>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</si>
  <si>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</si>
  <si>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</si>
  <si>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</si>
  <si>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</si>
  <si>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</si>
  <si>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прочистка фильтров диам. 80мм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</si>
  <si>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</si>
  <si>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</si>
  <si>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</si>
  <si>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</si>
  <si>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</si>
  <si>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врезка в действующие сети трубопроводов отопления и водоснабжения диам. 15мм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</si>
  <si>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</si>
  <si>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</si>
  <si>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</si>
  <si>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</si>
  <si>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огрунтовка ранее окрашенных фасадов под окраску</t>
  </si>
  <si>
    <t>регулировка смывного бачка</t>
  </si>
  <si>
    <t>окраска водно-дисперсионными акриловыми составами улучшенная по штукатурке стен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</si>
  <si>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</si>
  <si>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</si>
  <si>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>1,4 квартал</t>
  </si>
  <si>
    <t>прочистка труб внутренней канализации диам 50-150мм установкой для прочистки труб простого засора</t>
  </si>
  <si>
    <t>ремонт и окраска дверей (восстановление фурнитуры и остекления) пружины</t>
  </si>
  <si>
    <t>смена трубопроводов из полиэтиленовых труб диам. 50мм</t>
  </si>
  <si>
    <t>лифт</t>
  </si>
  <si>
    <t>услуги по видеонаблюдению</t>
  </si>
  <si>
    <t>смена сгонов у трубопроводов диаметром до 32мм</t>
  </si>
  <si>
    <t>сгона</t>
  </si>
  <si>
    <t xml:space="preserve">ремонт мягкого покрытия кровли в 1 слой </t>
  </si>
  <si>
    <t xml:space="preserve">ремонт межпанельных швов без вскрытия 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</si>
  <si>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</si>
  <si>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</si>
  <si>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</si>
  <si>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</si>
  <si>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 xml:space="preserve"> смена кранов на шаровые краны диам15,25 мм</t>
  </si>
  <si>
    <t>смена сгонов у трубопроводов диаметром до 20мм</t>
  </si>
  <si>
    <t>установка и крепление наличников</t>
  </si>
  <si>
    <t>окраска масляными составами ранее окрашенных металлических решеток и оград без рельефа за 1 раз</t>
  </si>
  <si>
    <t>смена задвижки диам.50 на шаровый кран</t>
  </si>
  <si>
    <t>Дезинсекция от блох</t>
  </si>
  <si>
    <t>4 квартил</t>
  </si>
  <si>
    <t>окраска масляными составами ранее окрашенных больших металлических поверхностей(кроме крыш) за 2 раза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</si>
  <si>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</si>
  <si>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 корпус 1   на 2024 г.
</t>
  </si>
  <si>
    <t>установка хомутов диам трубопроводов до 100мм</t>
  </si>
  <si>
    <t>Плата УЛ/ПУ-1(управления)ФАИД 469135,005-06/16;плата УЛ/ПЗУ(программное устройство) ФАИД 00101-54</t>
  </si>
  <si>
    <t>смена внутренних трубопроводов из стальных труб диам. 15мм</t>
  </si>
  <si>
    <t>установка термометров</t>
  </si>
  <si>
    <t>улучшенная масляная окраска ранее окрашенных фасадов с расчисткой старой краски</t>
  </si>
  <si>
    <t>ремонт металлиеских ограждений мелкий</t>
  </si>
  <si>
    <t>окраска масляными составами ранее окрашенных поверхностей труб стальных за 1 раз</t>
  </si>
  <si>
    <t>окраска масляными составами ранее окрашенных металлических санитарно-технических приборов и других металлических поверхностей площадью до 0,25м2 за 1 раз</t>
  </si>
  <si>
    <t>смена досок на скамейке до 3шт, в одном месте</t>
  </si>
  <si>
    <t>ремонт мест просадок бетоном(толщина слоя 200мм)</t>
  </si>
  <si>
    <t xml:space="preserve"> смена кранов на шаровые краны диам.15,20,32 мм</t>
  </si>
  <si>
    <t>очистка вручную поверхности потолков от красок</t>
  </si>
  <si>
    <t>окраска водно-дисперсионными акриловыми составами улучшенная по штукатурке потолков</t>
  </si>
  <si>
    <t>очистка вручную поверхности стен от красок</t>
  </si>
  <si>
    <t xml:space="preserve">улучшенная масляная окраска ранее окрашенных стен за два раза с расчисткой старой краски до 10%(сапожок </t>
  </si>
  <si>
    <t>ремонт металлических лестничных решеток</t>
  </si>
  <si>
    <t>укрепление стоек металлических решеток ограждений</t>
  </si>
  <si>
    <t>смена стекол толщиной 4-6 мм в деревянных переплетах на штапиках по замазке при площади стекол до 0,25 м2 в деревянных дверях</t>
  </si>
  <si>
    <t>установка дверного доводчика</t>
  </si>
  <si>
    <t>смена дверных приборов:ручки-скобы</t>
  </si>
  <si>
    <t>смена дверных приборов пружины</t>
  </si>
  <si>
    <t>смена дверных приборов шпингалеты</t>
  </si>
  <si>
    <t>смена дверных приборов петли</t>
  </si>
  <si>
    <t>укрепление оконных и дверных коробок без конопатки</t>
  </si>
  <si>
    <t>установка дверных полотен внутренних межкомнатных</t>
  </si>
  <si>
    <t>установка рейки-добора</t>
  </si>
  <si>
    <t>ремонт дверных полотен со сменой брусков обвязки вертикальных с числом сопряжений 2</t>
  </si>
  <si>
    <t>улучшенная масляная окраска ранее окрашенных дверей за два раза с расчисткой старой краски до 10%</t>
  </si>
  <si>
    <t>простая масляная окраска ранее окрашенных стен с подготовкой и расчисткой старой краски до 10%(торцов лестничных маршей</t>
  </si>
  <si>
    <t>окраска масляными составами ранее окрашенных металлических решеток и оград без рельефа за 2 раза( ограждения л/маршей)</t>
  </si>
  <si>
    <t>окраска масляными составами ранее окрашенных поверхностей труб стальных за 2 раза</t>
  </si>
  <si>
    <t xml:space="preserve">окраска масляными составами ранее окрашенных поверхностей радиаторов  и ребристых труб отопления за 2 раза </t>
  </si>
  <si>
    <t>установка декоративного деревянного экрана на регистры отопления</t>
  </si>
  <si>
    <t xml:space="preserve">окраска масляными составами ранее окрашенных больших металлических поверхностей (кроме крыш) за два раза </t>
  </si>
  <si>
    <t>смена керамогранитных плит: до 6 шт.</t>
  </si>
  <si>
    <t>демонтаж светильников для люминесцентных ламп</t>
  </si>
  <si>
    <t>светильник потолочный или настенный с креплением винтами или болтами для помещений с нормальными условиями среды, одноламповый</t>
  </si>
  <si>
    <t>короба пластмассовые шириной до 40 мм</t>
  </si>
  <si>
    <t>короба пластмассовые шириной до 63 мм</t>
  </si>
  <si>
    <t>смена дверных приборов замки накладные(квартирные щитки)</t>
  </si>
  <si>
    <t>окраска металлических деталей мусоропровода в 9-этажных зданиях с пятью клапанами</t>
  </si>
  <si>
    <t>ремонт и восстановление уплотнения стыков прокладками ПРП в 1 ряд в стенах, оконных, дверных и балконных блоках насухо</t>
  </si>
  <si>
    <t>улучшенная масляная окраска ранее окрашенных окон за два раза с расчисткой старой краски до 10%</t>
  </si>
  <si>
    <t>смена оконных приборов ручки в деревянных окнах</t>
  </si>
  <si>
    <t>Оказание экспертно-консультационной услуги по проверке правильности составления сметной документации</t>
  </si>
  <si>
    <t>Оказание услуги строительного контроля</t>
  </si>
  <si>
    <t>вывоз веток, листвы и порубочных остатков</t>
  </si>
  <si>
    <t>подготовка почвы для устройства партерного и обыкновенного газона с внесением растительной земли слоем 15 см вручную</t>
  </si>
  <si>
    <t>смена задвижки диам.100 на шаровый кран</t>
  </si>
  <si>
    <t>валка деревьев с разделкой древесины на корню, мягколиственных и хвойных пород диаметром: до 0,5 м</t>
  </si>
  <si>
    <t>смена отдельных участков металлического ограждения газонов из труб диаметром до 25 мм</t>
  </si>
  <si>
    <t>ремонт ступеней бетонных</t>
  </si>
  <si>
    <t>смена сгонов у трубопроводов диам. до 20мм</t>
  </si>
  <si>
    <t xml:space="preserve"> смена кранов на шаровые краны диам.20,32мм</t>
  </si>
  <si>
    <t>смена ламп накаливания</t>
  </si>
  <si>
    <t>слив и наполнение водой системы отопления с осмотром</t>
  </si>
  <si>
    <t>м3 объема здания</t>
  </si>
  <si>
    <t>проверка на прогрев отопительных приборов с регулировкой</t>
  </si>
  <si>
    <t>ремонт дверного доводчика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</si>
</sst>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topLeftCell="D167" zoomScale="91" zoomScaleNormal="91" workbookViewId="0">
      <selection activeCell="E186" sqref="E186:I18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8" t="s">
        <v>96</v>
      </c>
      <c r="J1" s="78"/>
    </row>
    <row r="2" spans="1:12" ht="70.5" customHeight="1" x14ac:dyDescent="0.25">
      <c r="A2" s="73" t="s">
        <v>192</v>
      </c>
      <c r="B2" s="74"/>
      <c r="C2" s="74"/>
      <c r="D2" s="74"/>
      <c r="E2" s="74"/>
      <c r="F2" s="74"/>
      <c r="G2" s="74"/>
      <c r="H2" s="74"/>
      <c r="I2" s="74"/>
      <c r="J2" s="74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9" t="s">
        <v>87</v>
      </c>
      <c r="B4" s="80"/>
      <c r="C4" s="80"/>
      <c r="D4" s="80"/>
      <c r="E4" s="80"/>
      <c r="F4" s="80"/>
      <c r="G4" s="81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177</v>
      </c>
      <c r="E5" s="41" t="s">
        <v>139</v>
      </c>
      <c r="F5" s="41">
        <f>5</f>
        <v>5</v>
      </c>
      <c r="G5" s="13" t="s">
        <v>112</v>
      </c>
      <c r="H5" s="41">
        <f>4654/F5</f>
        <v>930.8</v>
      </c>
      <c r="I5" s="70">
        <f>F5*H5</f>
        <v>4654</v>
      </c>
      <c r="J5" s="13" t="s">
        <v>117</v>
      </c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139</v>
      </c>
      <c r="F6" s="41" t="s">
        <v>139</v>
      </c>
      <c r="G6" s="13" t="s">
        <v>112</v>
      </c>
      <c r="H6" s="41" t="s">
        <v>139</v>
      </c>
      <c r="I6" s="41" t="s">
        <v>139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151</v>
      </c>
      <c r="E7" s="41" t="s">
        <v>139</v>
      </c>
      <c r="F7" s="41" t="s">
        <v>139</v>
      </c>
      <c r="G7" s="13" t="s">
        <v>30</v>
      </c>
      <c r="H7" s="41" t="s">
        <v>139</v>
      </c>
      <c r="I7" s="41" t="s">
        <v>139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41" t="s">
        <v>139</v>
      </c>
      <c r="F11" s="41" t="s">
        <v>139</v>
      </c>
      <c r="G11" s="13" t="s">
        <v>31</v>
      </c>
      <c r="H11" s="41" t="s">
        <v>139</v>
      </c>
      <c r="I11" s="41" t="s">
        <v>139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139</v>
      </c>
      <c r="F12" s="41" t="s">
        <v>139</v>
      </c>
      <c r="G12" s="14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139</v>
      </c>
      <c r="F13" s="41" t="s">
        <v>139</v>
      </c>
      <c r="G13" s="13" t="s">
        <v>30</v>
      </c>
      <c r="H13" s="41"/>
      <c r="I13" s="41" t="s">
        <v>139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139</v>
      </c>
      <c r="F14" s="41" t="s">
        <v>139</v>
      </c>
      <c r="G14" s="13" t="s">
        <v>30</v>
      </c>
      <c r="H14" s="41"/>
      <c r="I14" s="41" t="s">
        <v>139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1"/>
      <c r="I15" s="41">
        <f>SUM(I13:I14)</f>
        <v>0</v>
      </c>
      <c r="J15" s="13"/>
      <c r="K15" s="2"/>
      <c r="L15" s="2"/>
    </row>
    <row r="16" spans="1:12" ht="18.75" x14ac:dyDescent="0.3">
      <c r="A16" s="79" t="s">
        <v>56</v>
      </c>
      <c r="B16" s="80"/>
      <c r="C16" s="80"/>
      <c r="D16" s="80"/>
      <c r="E16" s="80"/>
      <c r="F16" s="80"/>
      <c r="G16" s="81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95</v>
      </c>
      <c r="E17" s="41"/>
      <c r="F17" s="41"/>
      <c r="G17" s="14" t="s">
        <v>54</v>
      </c>
      <c r="H17" s="41"/>
      <c r="I17" s="41"/>
      <c r="J17" s="13"/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41"/>
      <c r="F18" s="41"/>
      <c r="G18" s="14" t="s">
        <v>53</v>
      </c>
      <c r="H18" s="41"/>
      <c r="I18" s="41" t="s">
        <v>139</v>
      </c>
      <c r="J18" s="13"/>
      <c r="L18" s="2"/>
    </row>
    <row r="19" spans="1:12" ht="32.25" x14ac:dyDescent="0.3">
      <c r="A19" s="6" t="s">
        <v>9</v>
      </c>
      <c r="B19" s="5"/>
      <c r="C19" s="4"/>
      <c r="D19" s="15" t="s">
        <v>164</v>
      </c>
      <c r="E19" s="41"/>
      <c r="F19" s="41"/>
      <c r="G19" s="13" t="s">
        <v>53</v>
      </c>
      <c r="H19" s="41"/>
      <c r="I19" s="41" t="s">
        <v>139</v>
      </c>
      <c r="J19" s="13"/>
      <c r="K19" s="2"/>
      <c r="L19" s="2"/>
    </row>
    <row r="20" spans="1:12" ht="48" x14ac:dyDescent="0.3">
      <c r="A20" s="6"/>
      <c r="B20" s="5"/>
      <c r="C20" s="4"/>
      <c r="D20" s="15" t="s">
        <v>197</v>
      </c>
      <c r="E20" s="41"/>
      <c r="F20" s="41">
        <v>282.60000000000002</v>
      </c>
      <c r="G20" s="13" t="s">
        <v>112</v>
      </c>
      <c r="H20" s="45">
        <f>158198/F20</f>
        <v>559.79476291578203</v>
      </c>
      <c r="I20" s="60">
        <f>F20*H20</f>
        <v>158198</v>
      </c>
      <c r="J20" s="13" t="s">
        <v>122</v>
      </c>
      <c r="K20" s="2"/>
      <c r="L20" s="2"/>
    </row>
    <row r="21" spans="1:12" ht="32.25" x14ac:dyDescent="0.3">
      <c r="A21" s="6"/>
      <c r="B21" s="5"/>
      <c r="C21" s="4"/>
      <c r="D21" s="15" t="s">
        <v>164</v>
      </c>
      <c r="E21" s="41"/>
      <c r="F21" s="41">
        <v>282.60000000000002</v>
      </c>
      <c r="G21" s="13" t="s">
        <v>53</v>
      </c>
      <c r="H21" s="45">
        <f>24558.4/F21</f>
        <v>86.901627742392066</v>
      </c>
      <c r="I21" s="60">
        <f>F21*H21</f>
        <v>24558.400000000001</v>
      </c>
      <c r="J21" s="13" t="s">
        <v>122</v>
      </c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139</v>
      </c>
      <c r="F22" s="41" t="s">
        <v>139</v>
      </c>
      <c r="G22" s="14" t="s">
        <v>53</v>
      </c>
      <c r="H22" s="41"/>
      <c r="I22" s="41" t="s">
        <v>139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39</v>
      </c>
      <c r="E23" s="41" t="s">
        <v>139</v>
      </c>
      <c r="F23" s="41" t="s">
        <v>139</v>
      </c>
      <c r="G23" s="14" t="s">
        <v>53</v>
      </c>
      <c r="H23" s="41"/>
      <c r="I23" s="41" t="s">
        <v>139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144</v>
      </c>
      <c r="E24" s="41" t="s">
        <v>139</v>
      </c>
      <c r="F24" s="41" t="s">
        <v>139</v>
      </c>
      <c r="G24" s="14" t="s">
        <v>145</v>
      </c>
      <c r="H24" s="41"/>
      <c r="I24" s="41" t="s">
        <v>139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139</v>
      </c>
      <c r="F25" s="41" t="s">
        <v>139</v>
      </c>
      <c r="G25" s="13" t="s">
        <v>30</v>
      </c>
      <c r="H25" s="41"/>
      <c r="I25" s="41" t="s">
        <v>139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40</v>
      </c>
      <c r="E26" s="41" t="s">
        <v>139</v>
      </c>
      <c r="F26" s="41" t="s">
        <v>139</v>
      </c>
      <c r="G26" s="14" t="s">
        <v>53</v>
      </c>
      <c r="H26" s="41"/>
      <c r="I26" s="41" t="s">
        <v>139</v>
      </c>
      <c r="J26" s="13"/>
      <c r="K26" s="2"/>
      <c r="L26" s="2"/>
    </row>
    <row r="27" spans="1:12" ht="38.25" customHeight="1" x14ac:dyDescent="0.3">
      <c r="A27" s="6"/>
      <c r="B27" s="5"/>
      <c r="C27" s="4"/>
      <c r="D27" s="15" t="s">
        <v>244</v>
      </c>
      <c r="E27" s="41"/>
      <c r="F27" s="41">
        <f>2</f>
        <v>2</v>
      </c>
      <c r="G27" s="14" t="s">
        <v>31</v>
      </c>
      <c r="H27" s="45">
        <f>2304/F27</f>
        <v>1152</v>
      </c>
      <c r="I27" s="60">
        <f>F27*H27</f>
        <v>2304</v>
      </c>
      <c r="J27" s="13" t="s">
        <v>117</v>
      </c>
      <c r="K27" s="2"/>
      <c r="L27" s="2"/>
    </row>
    <row r="28" spans="1:12" ht="18.75" x14ac:dyDescent="0.3">
      <c r="A28" s="6" t="s">
        <v>55</v>
      </c>
      <c r="B28" s="5"/>
      <c r="C28" s="4"/>
      <c r="D28" s="15" t="s">
        <v>178</v>
      </c>
      <c r="E28" s="41" t="s">
        <v>139</v>
      </c>
      <c r="F28" s="41" t="s">
        <v>139</v>
      </c>
      <c r="G28" s="14" t="s">
        <v>30</v>
      </c>
      <c r="H28" s="41"/>
      <c r="I28" s="41" t="s">
        <v>139</v>
      </c>
      <c r="J28" s="13"/>
      <c r="L28" s="2"/>
    </row>
    <row r="29" spans="1:12" ht="32.25" x14ac:dyDescent="0.3">
      <c r="A29" s="6" t="s">
        <v>57</v>
      </c>
      <c r="B29" s="5"/>
      <c r="C29" s="4"/>
      <c r="D29" s="15" t="s">
        <v>94</v>
      </c>
      <c r="E29" s="41" t="s">
        <v>139</v>
      </c>
      <c r="F29" s="41" t="s">
        <v>139</v>
      </c>
      <c r="G29" s="14" t="s">
        <v>53</v>
      </c>
      <c r="H29" s="41"/>
      <c r="I29" s="41" t="s">
        <v>139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93</v>
      </c>
      <c r="E30" s="41" t="s">
        <v>139</v>
      </c>
      <c r="F30" s="41" t="s">
        <v>139</v>
      </c>
      <c r="G30" s="14" t="s">
        <v>54</v>
      </c>
      <c r="H30" s="41"/>
      <c r="I30" s="41" t="s">
        <v>139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42</v>
      </c>
      <c r="E31" s="41" t="s">
        <v>139</v>
      </c>
      <c r="F31" s="41" t="s">
        <v>139</v>
      </c>
      <c r="G31" s="14" t="s">
        <v>54</v>
      </c>
      <c r="H31" s="41"/>
      <c r="I31" s="41" t="s">
        <v>139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43</v>
      </c>
      <c r="E32" s="41" t="s">
        <v>139</v>
      </c>
      <c r="F32" s="41" t="s">
        <v>139</v>
      </c>
      <c r="G32" s="14" t="s">
        <v>53</v>
      </c>
      <c r="H32" s="41"/>
      <c r="I32" s="41" t="s">
        <v>139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44</v>
      </c>
      <c r="E33" s="41" t="s">
        <v>139</v>
      </c>
      <c r="F33" s="41" t="s">
        <v>139</v>
      </c>
      <c r="G33" s="13" t="s">
        <v>30</v>
      </c>
      <c r="H33" s="41"/>
      <c r="I33" s="41" t="s">
        <v>139</v>
      </c>
      <c r="J33" s="13"/>
      <c r="L33" s="2"/>
    </row>
    <row r="34" spans="1:12" ht="18.75" x14ac:dyDescent="0.3">
      <c r="A34" s="6" t="s">
        <v>18</v>
      </c>
      <c r="B34" s="5"/>
      <c r="C34" s="4"/>
      <c r="D34" s="4" t="s">
        <v>45</v>
      </c>
      <c r="E34" s="41" t="s">
        <v>139</v>
      </c>
      <c r="F34" s="41" t="s">
        <v>139</v>
      </c>
      <c r="G34" s="14" t="s">
        <v>54</v>
      </c>
      <c r="H34" s="41"/>
      <c r="I34" s="41" t="s">
        <v>139</v>
      </c>
      <c r="J34" s="13"/>
      <c r="L34" s="2"/>
    </row>
    <row r="35" spans="1:12" ht="18.75" x14ac:dyDescent="0.3">
      <c r="A35" s="28"/>
      <c r="B35" s="22"/>
      <c r="C35" s="22"/>
      <c r="D35" s="22"/>
      <c r="E35" s="46"/>
      <c r="F35" s="46"/>
      <c r="G35" s="12"/>
      <c r="H35" s="41"/>
      <c r="I35" s="45">
        <f>SUM(I17:I34)</f>
        <v>185060.4</v>
      </c>
      <c r="J35" s="13"/>
      <c r="L35" s="2"/>
    </row>
    <row r="36" spans="1:12" ht="24" customHeight="1" x14ac:dyDescent="0.3">
      <c r="A36" s="79" t="s">
        <v>85</v>
      </c>
      <c r="B36" s="80"/>
      <c r="C36" s="80"/>
      <c r="D36" s="80"/>
      <c r="E36" s="80"/>
      <c r="F36" s="80"/>
      <c r="G36" s="81"/>
      <c r="H36" s="14"/>
      <c r="I36" s="5"/>
      <c r="J36" s="13"/>
      <c r="L36" s="2"/>
    </row>
    <row r="37" spans="1:12" ht="32.25" customHeight="1" x14ac:dyDescent="0.3">
      <c r="A37" s="6" t="s">
        <v>49</v>
      </c>
      <c r="B37" s="5"/>
      <c r="C37" s="4"/>
      <c r="D37" s="15" t="s">
        <v>171</v>
      </c>
      <c r="E37" s="41"/>
      <c r="F37" s="41"/>
      <c r="G37" s="38" t="s">
        <v>31</v>
      </c>
      <c r="H37" s="41"/>
      <c r="I37" s="41"/>
      <c r="J37" s="13"/>
      <c r="L37" s="2"/>
    </row>
    <row r="38" spans="1:12" ht="32.25" customHeight="1" x14ac:dyDescent="0.3">
      <c r="A38" s="6"/>
      <c r="B38" s="5"/>
      <c r="C38" s="4"/>
      <c r="D38" s="15" t="s">
        <v>157</v>
      </c>
      <c r="E38" s="41"/>
      <c r="F38" s="41">
        <f>1</f>
        <v>1</v>
      </c>
      <c r="G38" s="38" t="s">
        <v>30</v>
      </c>
      <c r="H38" s="45">
        <f>3631.8/F38</f>
        <v>3631.8</v>
      </c>
      <c r="I38" s="61">
        <f t="shared" ref="I38:I43" si="0">F38*H38</f>
        <v>3631.8</v>
      </c>
      <c r="J38" s="13" t="s">
        <v>122</v>
      </c>
      <c r="L38" s="2"/>
    </row>
    <row r="39" spans="1:12" ht="52.5" customHeight="1" x14ac:dyDescent="0.3">
      <c r="A39" s="6"/>
      <c r="B39" s="5"/>
      <c r="C39" s="4"/>
      <c r="D39" s="15" t="s">
        <v>190</v>
      </c>
      <c r="E39" s="41"/>
      <c r="F39" s="41">
        <f>20.77</f>
        <v>20.77</v>
      </c>
      <c r="G39" s="13" t="s">
        <v>112</v>
      </c>
      <c r="H39" s="45">
        <f>4886.4/F39</f>
        <v>235.26239768897446</v>
      </c>
      <c r="I39" s="60">
        <f>F39*H39</f>
        <v>4886.3999999999996</v>
      </c>
      <c r="J39" s="13" t="s">
        <v>122</v>
      </c>
      <c r="L39" s="2"/>
    </row>
    <row r="40" spans="1:12" ht="32.25" customHeight="1" x14ac:dyDescent="0.3">
      <c r="A40" s="6"/>
      <c r="B40" s="5"/>
      <c r="C40" s="4"/>
      <c r="D40" s="15" t="s">
        <v>217</v>
      </c>
      <c r="E40" s="41"/>
      <c r="F40" s="41">
        <v>3</v>
      </c>
      <c r="G40" s="13" t="s">
        <v>112</v>
      </c>
      <c r="H40" s="45">
        <f>14614.2/F40</f>
        <v>4871.4000000000005</v>
      </c>
      <c r="I40" s="60">
        <f t="shared" si="0"/>
        <v>14614.2</v>
      </c>
      <c r="J40" s="13" t="s">
        <v>122</v>
      </c>
      <c r="L40" s="2"/>
    </row>
    <row r="41" spans="1:12" ht="32.25" customHeight="1" x14ac:dyDescent="0.3">
      <c r="A41" s="6"/>
      <c r="B41" s="5"/>
      <c r="C41" s="4"/>
      <c r="D41" s="15" t="s">
        <v>185</v>
      </c>
      <c r="E41" s="41" t="s">
        <v>139</v>
      </c>
      <c r="F41" s="41">
        <v>10</v>
      </c>
      <c r="G41" s="13" t="s">
        <v>146</v>
      </c>
      <c r="H41" s="45">
        <f>1378.6/F41</f>
        <v>137.85999999999999</v>
      </c>
      <c r="I41" s="60">
        <f t="shared" si="0"/>
        <v>1378.6</v>
      </c>
      <c r="J41" s="13" t="s">
        <v>122</v>
      </c>
      <c r="L41" s="2"/>
    </row>
    <row r="42" spans="1:12" ht="32.25" customHeight="1" x14ac:dyDescent="0.3">
      <c r="A42" s="6"/>
      <c r="B42" s="5"/>
      <c r="C42" s="4"/>
      <c r="D42" s="15" t="s">
        <v>211</v>
      </c>
      <c r="E42" s="41" t="s">
        <v>139</v>
      </c>
      <c r="F42" s="41">
        <v>22</v>
      </c>
      <c r="G42" s="13" t="s">
        <v>31</v>
      </c>
      <c r="H42" s="45">
        <f>32028.2/F42</f>
        <v>1455.8272727272727</v>
      </c>
      <c r="I42" s="60">
        <f t="shared" si="0"/>
        <v>32028.199999999997</v>
      </c>
      <c r="J42" s="13" t="s">
        <v>122</v>
      </c>
      <c r="L42" s="2"/>
    </row>
    <row r="43" spans="1:12" ht="32.25" customHeight="1" x14ac:dyDescent="0.3">
      <c r="A43" s="6"/>
      <c r="B43" s="5"/>
      <c r="C43" s="4"/>
      <c r="D43" s="15" t="s">
        <v>212</v>
      </c>
      <c r="E43" s="41" t="s">
        <v>139</v>
      </c>
      <c r="F43" s="41">
        <v>122</v>
      </c>
      <c r="G43" s="13" t="s">
        <v>31</v>
      </c>
      <c r="H43" s="45">
        <f>46748/F43</f>
        <v>383.18032786885249</v>
      </c>
      <c r="I43" s="60">
        <f t="shared" si="0"/>
        <v>46748</v>
      </c>
      <c r="J43" s="13" t="s">
        <v>122</v>
      </c>
      <c r="L43" s="2"/>
    </row>
    <row r="44" spans="1:12" ht="32.25" customHeight="1" x14ac:dyDescent="0.3">
      <c r="A44" s="6"/>
      <c r="B44" s="5"/>
      <c r="C44" s="4"/>
      <c r="D44" s="15" t="s">
        <v>213</v>
      </c>
      <c r="E44" s="41" t="s">
        <v>139</v>
      </c>
      <c r="F44" s="41">
        <v>40</v>
      </c>
      <c r="G44" s="13" t="s">
        <v>31</v>
      </c>
      <c r="H44" s="45">
        <f>24115.2/F44</f>
        <v>602.88</v>
      </c>
      <c r="I44" s="60">
        <f t="shared" ref="I44:I47" si="1">F44*H44</f>
        <v>24115.200000000001</v>
      </c>
      <c r="J44" s="13" t="s">
        <v>122</v>
      </c>
      <c r="L44" s="2"/>
    </row>
    <row r="45" spans="1:12" ht="32.25" customHeight="1" x14ac:dyDescent="0.3">
      <c r="A45" s="6"/>
      <c r="B45" s="5"/>
      <c r="C45" s="4"/>
      <c r="D45" s="15" t="s">
        <v>214</v>
      </c>
      <c r="E45" s="41" t="s">
        <v>139</v>
      </c>
      <c r="F45" s="41">
        <v>66</v>
      </c>
      <c r="G45" s="13" t="s">
        <v>31</v>
      </c>
      <c r="H45" s="45">
        <f>97623.4/F45</f>
        <v>1479.1424242424241</v>
      </c>
      <c r="I45" s="60">
        <f t="shared" si="1"/>
        <v>97623.4</v>
      </c>
      <c r="J45" s="13" t="s">
        <v>122</v>
      </c>
      <c r="L45" s="2"/>
    </row>
    <row r="46" spans="1:12" ht="32.25" customHeight="1" x14ac:dyDescent="0.3">
      <c r="A46" s="6"/>
      <c r="B46" s="5"/>
      <c r="C46" s="4"/>
      <c r="D46" s="15" t="s">
        <v>215</v>
      </c>
      <c r="E46" s="41" t="s">
        <v>139</v>
      </c>
      <c r="F46" s="41">
        <v>10</v>
      </c>
      <c r="G46" s="13" t="s">
        <v>31</v>
      </c>
      <c r="H46" s="45">
        <f>10385.4/F46</f>
        <v>1038.54</v>
      </c>
      <c r="I46" s="60">
        <f t="shared" si="1"/>
        <v>10385.4</v>
      </c>
      <c r="J46" s="13" t="s">
        <v>122</v>
      </c>
      <c r="L46" s="2"/>
    </row>
    <row r="47" spans="1:12" ht="32.25" customHeight="1" x14ac:dyDescent="0.3">
      <c r="A47" s="6"/>
      <c r="B47" s="5"/>
      <c r="C47" s="4"/>
      <c r="D47" s="15" t="s">
        <v>216</v>
      </c>
      <c r="E47" s="41" t="s">
        <v>139</v>
      </c>
      <c r="F47" s="41">
        <v>20</v>
      </c>
      <c r="G47" s="13" t="s">
        <v>31</v>
      </c>
      <c r="H47" s="45">
        <f>4558.4/F47</f>
        <v>227.92</v>
      </c>
      <c r="I47" s="60">
        <f t="shared" si="1"/>
        <v>4558.3999999999996</v>
      </c>
      <c r="J47" s="13" t="s">
        <v>122</v>
      </c>
      <c r="L47" s="2"/>
    </row>
    <row r="48" spans="1:12" ht="32.25" customHeight="1" x14ac:dyDescent="0.3">
      <c r="A48" s="6"/>
      <c r="B48" s="5"/>
      <c r="C48" s="4"/>
      <c r="D48" s="15" t="s">
        <v>218</v>
      </c>
      <c r="E48" s="41"/>
      <c r="F48" s="41">
        <v>50</v>
      </c>
      <c r="G48" s="13" t="s">
        <v>31</v>
      </c>
      <c r="H48" s="45">
        <f>6847.6/F48</f>
        <v>136.952</v>
      </c>
      <c r="I48" s="60">
        <f>F48*H48</f>
        <v>6847.6</v>
      </c>
      <c r="J48" s="13" t="s">
        <v>122</v>
      </c>
      <c r="L48" s="2"/>
    </row>
    <row r="49" spans="1:12" ht="32.25" customHeight="1" x14ac:dyDescent="0.3">
      <c r="A49" s="6"/>
      <c r="B49" s="5"/>
      <c r="C49" s="4"/>
      <c r="D49" s="15" t="s">
        <v>219</v>
      </c>
      <c r="E49" s="41"/>
      <c r="F49" s="41">
        <f>2</f>
        <v>2</v>
      </c>
      <c r="G49" s="13" t="s">
        <v>31</v>
      </c>
      <c r="H49" s="45">
        <f>6902.6/F49</f>
        <v>3451.3</v>
      </c>
      <c r="I49" s="60">
        <f>F49*H49</f>
        <v>6902.6</v>
      </c>
      <c r="J49" s="13" t="s">
        <v>122</v>
      </c>
      <c r="L49" s="2"/>
    </row>
    <row r="50" spans="1:12" ht="54.75" customHeight="1" x14ac:dyDescent="0.3">
      <c r="A50" s="6"/>
      <c r="B50" s="5"/>
      <c r="C50" s="4"/>
      <c r="D50" s="15" t="s">
        <v>210</v>
      </c>
      <c r="E50" s="41"/>
      <c r="F50" s="41">
        <f>2.8</f>
        <v>2.8</v>
      </c>
      <c r="G50" s="13" t="s">
        <v>112</v>
      </c>
      <c r="H50" s="45">
        <f>9652.2/F50</f>
        <v>3447.2142857142862</v>
      </c>
      <c r="I50" s="60">
        <f>F50*H50</f>
        <v>9652.2000000000007</v>
      </c>
      <c r="J50" s="13" t="s">
        <v>122</v>
      </c>
      <c r="L50" s="2"/>
    </row>
    <row r="51" spans="1:12" ht="54.75" customHeight="1" x14ac:dyDescent="0.3">
      <c r="A51" s="6"/>
      <c r="B51" s="5"/>
      <c r="C51" s="4"/>
      <c r="D51" s="15" t="s">
        <v>220</v>
      </c>
      <c r="E51" s="41"/>
      <c r="F51" s="41">
        <f>294.79</f>
        <v>294.79000000000002</v>
      </c>
      <c r="G51" s="13" t="s">
        <v>112</v>
      </c>
      <c r="H51" s="45">
        <f>134464.6/F51</f>
        <v>456.13691102140507</v>
      </c>
      <c r="I51" s="60">
        <f>F51*H51</f>
        <v>134464.6</v>
      </c>
      <c r="J51" s="13" t="s">
        <v>122</v>
      </c>
      <c r="L51" s="2"/>
    </row>
    <row r="52" spans="1:12" ht="54.75" customHeight="1" x14ac:dyDescent="0.3">
      <c r="A52" s="6"/>
      <c r="B52" s="5"/>
      <c r="C52" s="4"/>
      <c r="D52" s="15" t="s">
        <v>251</v>
      </c>
      <c r="E52" s="41" t="s">
        <v>139</v>
      </c>
      <c r="F52" s="41">
        <f>1</f>
        <v>1</v>
      </c>
      <c r="G52" s="13" t="s">
        <v>31</v>
      </c>
      <c r="H52" s="45">
        <f>2927.4/F52</f>
        <v>2927.4</v>
      </c>
      <c r="I52" s="60">
        <f t="shared" ref="I52" si="2">F52*H52</f>
        <v>2927.4</v>
      </c>
      <c r="J52" s="13" t="s">
        <v>120</v>
      </c>
      <c r="L52" s="2"/>
    </row>
    <row r="53" spans="1:12" ht="32.25" x14ac:dyDescent="0.3">
      <c r="A53" s="6" t="s">
        <v>50</v>
      </c>
      <c r="B53" s="5"/>
      <c r="C53" s="4"/>
      <c r="D53" s="15" t="s">
        <v>99</v>
      </c>
      <c r="E53" s="41" t="s">
        <v>139</v>
      </c>
      <c r="F53" s="41" t="s">
        <v>139</v>
      </c>
      <c r="G53" s="13" t="s">
        <v>54</v>
      </c>
      <c r="H53" s="41"/>
      <c r="I53" s="41" t="s">
        <v>139</v>
      </c>
      <c r="J53" s="13"/>
      <c r="L53" s="2"/>
    </row>
    <row r="54" spans="1:12" ht="51" customHeight="1" x14ac:dyDescent="0.3">
      <c r="A54" s="6"/>
      <c r="B54" s="5"/>
      <c r="C54" s="4"/>
      <c r="D54" s="15" t="s">
        <v>234</v>
      </c>
      <c r="E54" s="41" t="s">
        <v>139</v>
      </c>
      <c r="F54" s="41">
        <f>81+5</f>
        <v>86</v>
      </c>
      <c r="G54" s="13" t="s">
        <v>146</v>
      </c>
      <c r="H54" s="45">
        <f>(21525.4+1349.4)/F54</f>
        <v>265.98604651162793</v>
      </c>
      <c r="I54" s="70">
        <f>F54*H54</f>
        <v>22874.800000000003</v>
      </c>
      <c r="J54" s="13" t="s">
        <v>122</v>
      </c>
      <c r="L54" s="2"/>
    </row>
    <row r="55" spans="1:12" ht="51.75" customHeight="1" x14ac:dyDescent="0.3">
      <c r="A55" s="6"/>
      <c r="B55" s="5"/>
      <c r="C55" s="4"/>
      <c r="D55" s="15" t="s">
        <v>235</v>
      </c>
      <c r="E55" s="41" t="s">
        <v>139</v>
      </c>
      <c r="F55" s="41">
        <f>118.5</f>
        <v>118.5</v>
      </c>
      <c r="G55" s="13" t="s">
        <v>112</v>
      </c>
      <c r="H55" s="45">
        <f>102131.4/F55</f>
        <v>861.86835443037967</v>
      </c>
      <c r="I55" s="70">
        <f>F55*H55</f>
        <v>102131.4</v>
      </c>
      <c r="J55" s="13" t="s">
        <v>122</v>
      </c>
      <c r="L55" s="2"/>
    </row>
    <row r="56" spans="1:12" ht="38.25" customHeight="1" x14ac:dyDescent="0.3">
      <c r="A56" s="6"/>
      <c r="B56" s="5"/>
      <c r="C56" s="4"/>
      <c r="D56" s="15" t="s">
        <v>236</v>
      </c>
      <c r="E56" s="41" t="s">
        <v>139</v>
      </c>
      <c r="F56" s="41">
        <v>128</v>
      </c>
      <c r="G56" s="13" t="s">
        <v>31</v>
      </c>
      <c r="H56" s="45">
        <f>34376.4/F56</f>
        <v>268.56562500000001</v>
      </c>
      <c r="I56" s="70">
        <f>F56*H56</f>
        <v>34376.400000000001</v>
      </c>
      <c r="J56" s="13" t="s">
        <v>122</v>
      </c>
      <c r="L56" s="2"/>
    </row>
    <row r="57" spans="1:12" ht="32.25" x14ac:dyDescent="0.3">
      <c r="A57" s="6" t="s">
        <v>59</v>
      </c>
      <c r="B57" s="8"/>
      <c r="C57" s="4"/>
      <c r="D57" s="15" t="s">
        <v>46</v>
      </c>
      <c r="E57" s="41" t="s">
        <v>139</v>
      </c>
      <c r="F57" s="41" t="s">
        <v>139</v>
      </c>
      <c r="G57" s="14" t="s">
        <v>53</v>
      </c>
      <c r="H57" s="41"/>
      <c r="I57" s="41" t="s">
        <v>139</v>
      </c>
      <c r="J57" s="13"/>
      <c r="L57" s="2"/>
    </row>
    <row r="58" spans="1:12" ht="18.75" x14ac:dyDescent="0.3">
      <c r="A58" s="6"/>
      <c r="B58" s="8"/>
      <c r="C58" s="4"/>
      <c r="D58" s="15" t="s">
        <v>206</v>
      </c>
      <c r="E58" s="41"/>
      <c r="F58" s="41">
        <f>2856.61</f>
        <v>2856.61</v>
      </c>
      <c r="G58" s="14" t="s">
        <v>112</v>
      </c>
      <c r="H58" s="45">
        <f>521235.8/F58</f>
        <v>182.46656001344249</v>
      </c>
      <c r="I58" s="70">
        <f>F58*H58</f>
        <v>521235.8</v>
      </c>
      <c r="J58" s="13" t="s">
        <v>122</v>
      </c>
      <c r="L58" s="2"/>
    </row>
    <row r="59" spans="1:12" ht="32.25" x14ac:dyDescent="0.3">
      <c r="A59" s="6"/>
      <c r="B59" s="8"/>
      <c r="C59" s="4"/>
      <c r="D59" s="15" t="s">
        <v>166</v>
      </c>
      <c r="E59" s="41"/>
      <c r="F59" s="41">
        <v>2856.61</v>
      </c>
      <c r="G59" s="12" t="s">
        <v>112</v>
      </c>
      <c r="H59" s="45">
        <f>1741421.2/F59</f>
        <v>609.61111247247607</v>
      </c>
      <c r="I59" s="70">
        <f>F59*H59</f>
        <v>1741421.2</v>
      </c>
      <c r="J59" s="13" t="s">
        <v>122</v>
      </c>
      <c r="L59" s="2"/>
    </row>
    <row r="60" spans="1:12" ht="57.75" customHeight="1" x14ac:dyDescent="0.3">
      <c r="A60" s="6"/>
      <c r="B60" s="8"/>
      <c r="C60" s="4"/>
      <c r="D60" s="15" t="s">
        <v>207</v>
      </c>
      <c r="E60" s="41" t="s">
        <v>139</v>
      </c>
      <c r="F60" s="41">
        <f>298.3</f>
        <v>298.3</v>
      </c>
      <c r="G60" s="41" t="s">
        <v>112</v>
      </c>
      <c r="H60" s="45">
        <f>108756.2/F60</f>
        <v>364.58665772712033</v>
      </c>
      <c r="I60" s="70">
        <f>F60*H60</f>
        <v>108756.2</v>
      </c>
      <c r="J60" s="13" t="s">
        <v>122</v>
      </c>
      <c r="L60" s="2"/>
    </row>
    <row r="61" spans="1:12" ht="18.75" x14ac:dyDescent="0.3">
      <c r="A61" s="6" t="s">
        <v>61</v>
      </c>
      <c r="B61" s="5"/>
      <c r="C61" s="4"/>
      <c r="D61" s="15" t="s">
        <v>51</v>
      </c>
      <c r="E61" s="41" t="s">
        <v>139</v>
      </c>
      <c r="F61" s="41" t="s">
        <v>139</v>
      </c>
      <c r="G61" s="14" t="s">
        <v>53</v>
      </c>
      <c r="H61" s="41"/>
      <c r="I61" s="41" t="s">
        <v>139</v>
      </c>
      <c r="J61" s="13"/>
      <c r="L61" s="2"/>
    </row>
    <row r="62" spans="1:12" ht="18.75" x14ac:dyDescent="0.3">
      <c r="A62" s="6"/>
      <c r="B62" s="5"/>
      <c r="C62" s="4"/>
      <c r="D62" s="15" t="s">
        <v>208</v>
      </c>
      <c r="E62" s="41"/>
      <c r="F62" s="41">
        <f>8.32</f>
        <v>8.32</v>
      </c>
      <c r="G62" s="14" t="s">
        <v>146</v>
      </c>
      <c r="H62" s="45">
        <f>1293.2/F62</f>
        <v>155.43269230769232</v>
      </c>
      <c r="I62" s="70">
        <f>F62*H62</f>
        <v>1293.2</v>
      </c>
      <c r="J62" s="13" t="s">
        <v>122</v>
      </c>
      <c r="L62" s="2"/>
    </row>
    <row r="63" spans="1:12" ht="41.25" customHeight="1" x14ac:dyDescent="0.3">
      <c r="A63" s="6"/>
      <c r="B63" s="5"/>
      <c r="C63" s="4"/>
      <c r="D63" s="15" t="s">
        <v>209</v>
      </c>
      <c r="E63" s="41"/>
      <c r="F63" s="41">
        <v>4</v>
      </c>
      <c r="G63" s="14" t="s">
        <v>31</v>
      </c>
      <c r="H63" s="41">
        <f>1220.6/F63</f>
        <v>305.14999999999998</v>
      </c>
      <c r="I63" s="70">
        <f>F63*H63</f>
        <v>1220.5999999999999</v>
      </c>
      <c r="J63" s="13" t="s">
        <v>122</v>
      </c>
      <c r="L63" s="2"/>
    </row>
    <row r="64" spans="1:12" ht="59.25" customHeight="1" x14ac:dyDescent="0.3">
      <c r="A64" s="6"/>
      <c r="B64" s="5"/>
      <c r="C64" s="4"/>
      <c r="D64" s="15" t="s">
        <v>222</v>
      </c>
      <c r="E64" s="41"/>
      <c r="F64" s="41">
        <f>18.2</f>
        <v>18.2</v>
      </c>
      <c r="G64" s="14" t="s">
        <v>112</v>
      </c>
      <c r="H64" s="45">
        <f>14657.6/F64</f>
        <v>805.36263736263743</v>
      </c>
      <c r="I64" s="70">
        <f>F64*H64</f>
        <v>14657.6</v>
      </c>
      <c r="J64" s="13" t="s">
        <v>122</v>
      </c>
      <c r="L64" s="2"/>
    </row>
    <row r="65" spans="1:12" ht="49.5" customHeight="1" x14ac:dyDescent="0.3">
      <c r="A65" s="6"/>
      <c r="B65" s="5"/>
      <c r="C65" s="4"/>
      <c r="D65" s="15" t="s">
        <v>221</v>
      </c>
      <c r="E65" s="41"/>
      <c r="F65" s="41">
        <v>10.4</v>
      </c>
      <c r="G65" s="14" t="s">
        <v>112</v>
      </c>
      <c r="H65" s="45">
        <f>2540.6/F65</f>
        <v>244.28846153846152</v>
      </c>
      <c r="I65" s="70">
        <f>F65*H65</f>
        <v>2540.6</v>
      </c>
      <c r="J65" s="13" t="s">
        <v>122</v>
      </c>
      <c r="L65" s="2"/>
    </row>
    <row r="66" spans="1:12" ht="18.75" x14ac:dyDescent="0.3">
      <c r="A66" s="6"/>
      <c r="B66" s="5"/>
      <c r="C66" s="4"/>
      <c r="D66" s="15" t="s">
        <v>167</v>
      </c>
      <c r="E66" s="41" t="s">
        <v>139</v>
      </c>
      <c r="F66" s="41" t="s">
        <v>139</v>
      </c>
      <c r="G66" s="14" t="s">
        <v>53</v>
      </c>
      <c r="H66" s="41"/>
      <c r="I66" s="41" t="s">
        <v>139</v>
      </c>
      <c r="J66" s="13"/>
      <c r="L66" s="2"/>
    </row>
    <row r="67" spans="1:12" ht="32.25" x14ac:dyDescent="0.3">
      <c r="A67" s="6" t="s">
        <v>62</v>
      </c>
      <c r="B67" s="5"/>
      <c r="C67" s="4"/>
      <c r="D67" s="15" t="s">
        <v>64</v>
      </c>
      <c r="E67" s="41" t="s">
        <v>139</v>
      </c>
      <c r="F67" s="41" t="s">
        <v>139</v>
      </c>
      <c r="G67" s="13" t="s">
        <v>145</v>
      </c>
      <c r="H67" s="41"/>
      <c r="I67" s="41" t="s">
        <v>139</v>
      </c>
      <c r="J67" s="13"/>
      <c r="L67" s="2"/>
    </row>
    <row r="68" spans="1:12" ht="51" customHeight="1" x14ac:dyDescent="0.3">
      <c r="A68" s="6"/>
      <c r="B68" s="5"/>
      <c r="C68" s="4"/>
      <c r="D68" s="15" t="s">
        <v>233</v>
      </c>
      <c r="E68" s="41" t="s">
        <v>139</v>
      </c>
      <c r="F68" s="41">
        <f>1</f>
        <v>1</v>
      </c>
      <c r="G68" s="13" t="s">
        <v>31</v>
      </c>
      <c r="H68" s="41">
        <f>7856.4/F68</f>
        <v>7856.4</v>
      </c>
      <c r="I68" s="70">
        <f>F68*H68</f>
        <v>7856.4</v>
      </c>
      <c r="J68" s="13" t="s">
        <v>122</v>
      </c>
      <c r="L68" s="2"/>
    </row>
    <row r="69" spans="1:12" ht="18.75" x14ac:dyDescent="0.3">
      <c r="A69" s="6" t="s">
        <v>58</v>
      </c>
      <c r="B69" s="8"/>
      <c r="C69" s="4"/>
      <c r="D69" s="4" t="s">
        <v>47</v>
      </c>
      <c r="E69" s="41" t="s">
        <v>139</v>
      </c>
      <c r="F69" s="41" t="s">
        <v>139</v>
      </c>
      <c r="G69" s="14" t="s">
        <v>53</v>
      </c>
      <c r="H69" s="41"/>
      <c r="I69" s="41" t="s">
        <v>139</v>
      </c>
      <c r="J69" s="13"/>
      <c r="L69" s="2"/>
    </row>
    <row r="70" spans="1:12" ht="18.75" x14ac:dyDescent="0.3">
      <c r="A70" s="6"/>
      <c r="B70" s="8"/>
      <c r="C70" s="4"/>
      <c r="D70" s="4" t="s">
        <v>227</v>
      </c>
      <c r="E70" s="41"/>
      <c r="F70" s="41">
        <f>6</f>
        <v>6</v>
      </c>
      <c r="G70" s="14" t="s">
        <v>31</v>
      </c>
      <c r="H70" s="45">
        <f>1055/F70</f>
        <v>175.83333333333334</v>
      </c>
      <c r="I70" s="70">
        <f>F70*H70</f>
        <v>1055</v>
      </c>
      <c r="J70" s="13" t="s">
        <v>122</v>
      </c>
      <c r="L70" s="2"/>
    </row>
    <row r="71" spans="1:12" ht="32.25" x14ac:dyDescent="0.3">
      <c r="A71" s="6"/>
      <c r="B71" s="8"/>
      <c r="C71" s="4"/>
      <c r="D71" s="15" t="s">
        <v>204</v>
      </c>
      <c r="E71" s="41"/>
      <c r="F71" s="41">
        <f>588.7</f>
        <v>588.70000000000005</v>
      </c>
      <c r="G71" s="14" t="s">
        <v>112</v>
      </c>
      <c r="H71" s="45">
        <f>107418.2/F71</f>
        <v>182.46679123492439</v>
      </c>
      <c r="I71" s="70">
        <f>F71*H71</f>
        <v>107418.2</v>
      </c>
      <c r="J71" s="13" t="s">
        <v>122</v>
      </c>
      <c r="L71" s="2"/>
    </row>
    <row r="72" spans="1:12" ht="32.25" x14ac:dyDescent="0.3">
      <c r="A72" s="6"/>
      <c r="B72" s="8"/>
      <c r="C72" s="4"/>
      <c r="D72" s="15" t="s">
        <v>205</v>
      </c>
      <c r="E72" s="41"/>
      <c r="F72" s="41">
        <f>588.7</f>
        <v>588.70000000000005</v>
      </c>
      <c r="G72" s="14" t="s">
        <v>112</v>
      </c>
      <c r="H72" s="45">
        <f>492191.6/F72</f>
        <v>836.06522846950895</v>
      </c>
      <c r="I72" s="70">
        <f>F72*H72</f>
        <v>492191.6</v>
      </c>
      <c r="J72" s="13" t="s">
        <v>122</v>
      </c>
      <c r="L72" s="2"/>
    </row>
    <row r="73" spans="1:12" ht="24" customHeight="1" x14ac:dyDescent="0.3">
      <c r="A73" s="6" t="s">
        <v>60</v>
      </c>
      <c r="B73" s="8"/>
      <c r="C73" s="4"/>
      <c r="D73" s="4" t="s">
        <v>48</v>
      </c>
      <c r="E73" s="41" t="s">
        <v>139</v>
      </c>
      <c r="F73" s="41" t="s">
        <v>139</v>
      </c>
      <c r="G73" s="14" t="s">
        <v>53</v>
      </c>
      <c r="H73" s="41"/>
      <c r="I73" s="41" t="s">
        <v>139</v>
      </c>
      <c r="J73" s="13"/>
      <c r="L73" s="2"/>
    </row>
    <row r="74" spans="1:12" ht="18.75" x14ac:dyDescent="0.3">
      <c r="A74" s="6" t="s">
        <v>65</v>
      </c>
      <c r="B74" s="5"/>
      <c r="C74" s="4"/>
      <c r="D74" s="4" t="s">
        <v>92</v>
      </c>
      <c r="E74" s="41" t="s">
        <v>139</v>
      </c>
      <c r="F74" s="41" t="s">
        <v>139</v>
      </c>
      <c r="G74" s="14" t="s">
        <v>112</v>
      </c>
      <c r="H74" s="41"/>
      <c r="I74" s="41" t="s">
        <v>139</v>
      </c>
      <c r="J74" s="13"/>
      <c r="L74" s="2"/>
    </row>
    <row r="75" spans="1:12" ht="18.75" x14ac:dyDescent="0.3">
      <c r="A75" s="28"/>
      <c r="B75" s="22"/>
      <c r="C75" s="22"/>
      <c r="D75" s="22"/>
      <c r="E75" s="46"/>
      <c r="F75" s="46"/>
      <c r="G75" s="12"/>
      <c r="H75" s="41"/>
      <c r="I75" s="45">
        <f>SUM(I37:I74)</f>
        <v>3559793.0000000005</v>
      </c>
      <c r="J75" s="13"/>
      <c r="L75" s="2"/>
    </row>
    <row r="76" spans="1:12" ht="18.75" x14ac:dyDescent="0.3">
      <c r="A76" s="79" t="s">
        <v>67</v>
      </c>
      <c r="B76" s="80"/>
      <c r="C76" s="80"/>
      <c r="D76" s="80"/>
      <c r="E76" s="80"/>
      <c r="F76" s="80"/>
      <c r="G76" s="81"/>
      <c r="H76" s="18"/>
      <c r="I76" s="5"/>
      <c r="J76" s="13"/>
      <c r="L76" s="2"/>
    </row>
    <row r="77" spans="1:12" ht="37.5" x14ac:dyDescent="0.25">
      <c r="A77" s="9" t="s">
        <v>29</v>
      </c>
      <c r="B77" s="8"/>
      <c r="C77" s="4"/>
      <c r="D77" s="15" t="s">
        <v>142</v>
      </c>
      <c r="E77" s="41"/>
      <c r="F77" s="41"/>
      <c r="G77" s="13" t="s">
        <v>54</v>
      </c>
      <c r="H77" s="45"/>
      <c r="I77" s="41"/>
      <c r="J77" s="13"/>
      <c r="L77" s="2"/>
    </row>
    <row r="78" spans="1:12" ht="31.5" x14ac:dyDescent="0.25">
      <c r="A78" s="9"/>
      <c r="B78" s="8"/>
      <c r="C78" s="4"/>
      <c r="D78" s="15" t="s">
        <v>250</v>
      </c>
      <c r="E78" s="41"/>
      <c r="F78" s="41">
        <f>2+7</f>
        <v>9</v>
      </c>
      <c r="G78" s="13" t="s">
        <v>31</v>
      </c>
      <c r="H78" s="45">
        <f>(346+1210.8)/F78</f>
        <v>172.97777777777776</v>
      </c>
      <c r="I78" s="41">
        <f>F78*H78</f>
        <v>1556.7999999999997</v>
      </c>
      <c r="J78" s="13" t="s">
        <v>120</v>
      </c>
      <c r="L78" s="2"/>
    </row>
    <row r="79" spans="1:12" ht="54" customHeight="1" x14ac:dyDescent="0.25">
      <c r="A79" s="9"/>
      <c r="B79" s="8"/>
      <c r="C79" s="4"/>
      <c r="D79" s="15" t="s">
        <v>223</v>
      </c>
      <c r="E79" s="41"/>
      <c r="F79" s="41">
        <f>8.29</f>
        <v>8.2899999999999991</v>
      </c>
      <c r="G79" s="13" t="s">
        <v>112</v>
      </c>
      <c r="H79" s="45">
        <f>6271/F79</f>
        <v>756.45355850422209</v>
      </c>
      <c r="I79" s="70">
        <f>F79*H79</f>
        <v>6271.0000000000009</v>
      </c>
      <c r="J79" s="13" t="s">
        <v>122</v>
      </c>
      <c r="L79" s="2"/>
    </row>
    <row r="80" spans="1:12" ht="51.75" customHeight="1" x14ac:dyDescent="0.25">
      <c r="A80" s="9"/>
      <c r="B80" s="8"/>
      <c r="C80" s="4"/>
      <c r="D80" s="15" t="s">
        <v>224</v>
      </c>
      <c r="E80" s="41"/>
      <c r="F80" s="41">
        <f>2.84</f>
        <v>2.84</v>
      </c>
      <c r="G80" s="13" t="s">
        <v>112</v>
      </c>
      <c r="H80" s="45">
        <f>1906.6/F80</f>
        <v>671.33802816901414</v>
      </c>
      <c r="I80" s="70">
        <f>F80*H80</f>
        <v>1906.6000000000001</v>
      </c>
      <c r="J80" s="13" t="s">
        <v>122</v>
      </c>
      <c r="L80" s="2"/>
    </row>
    <row r="81" spans="1:12" ht="33.75" customHeight="1" x14ac:dyDescent="0.25">
      <c r="A81" s="9"/>
      <c r="B81" s="8"/>
      <c r="C81" s="4"/>
      <c r="D81" s="15" t="s">
        <v>225</v>
      </c>
      <c r="E81" s="41"/>
      <c r="F81" s="41">
        <v>1.2</v>
      </c>
      <c r="G81" s="13" t="s">
        <v>112</v>
      </c>
      <c r="H81" s="45">
        <f>1426.6/F81</f>
        <v>1188.8333333333333</v>
      </c>
      <c r="I81" s="70">
        <f>F81*H81</f>
        <v>1426.6</v>
      </c>
      <c r="J81" s="13" t="s">
        <v>122</v>
      </c>
      <c r="L81" s="2"/>
    </row>
    <row r="82" spans="1:12" ht="46.5" customHeight="1" x14ac:dyDescent="0.25">
      <c r="A82" s="9" t="s">
        <v>91</v>
      </c>
      <c r="B82" s="8"/>
      <c r="C82" s="4"/>
      <c r="D82" s="42" t="s">
        <v>124</v>
      </c>
      <c r="E82" s="32"/>
      <c r="F82" s="13">
        <f>2583.6</f>
        <v>2583.6</v>
      </c>
      <c r="G82" s="13" t="s">
        <v>112</v>
      </c>
      <c r="H82" s="33">
        <f>(12094.6+12094.6+12094.6+12170.2+12170.2+12710.2+12645+12645+12645+12806.2+12806.2+12806.2)/F82</f>
        <v>57.937761263353465</v>
      </c>
      <c r="I82" s="33">
        <f t="shared" ref="I82:I83" si="3">F82*H82</f>
        <v>149688</v>
      </c>
      <c r="J82" s="13" t="s">
        <v>115</v>
      </c>
      <c r="L82" s="2"/>
    </row>
    <row r="83" spans="1:12" ht="46.5" customHeight="1" x14ac:dyDescent="0.25">
      <c r="A83" s="9"/>
      <c r="B83" s="8"/>
      <c r="C83" s="4"/>
      <c r="D83" s="15" t="s">
        <v>111</v>
      </c>
      <c r="E83" s="32"/>
      <c r="F83" s="13">
        <f>2690</f>
        <v>2690</v>
      </c>
      <c r="G83" s="13" t="s">
        <v>30</v>
      </c>
      <c r="H83" s="33">
        <f>245753.8/F83</f>
        <v>91.358289962825268</v>
      </c>
      <c r="I83" s="33">
        <f t="shared" si="3"/>
        <v>245753.79999999996</v>
      </c>
      <c r="J83" s="13" t="s">
        <v>117</v>
      </c>
      <c r="L83" s="2"/>
    </row>
    <row r="84" spans="1:12" ht="46.5" customHeight="1" x14ac:dyDescent="0.25">
      <c r="A84" s="9"/>
      <c r="B84" s="8"/>
      <c r="C84" s="4"/>
      <c r="D84" s="15" t="s">
        <v>196</v>
      </c>
      <c r="E84" s="41" t="s">
        <v>139</v>
      </c>
      <c r="F84" s="41">
        <f>2+8</f>
        <v>10</v>
      </c>
      <c r="G84" s="13" t="s">
        <v>31</v>
      </c>
      <c r="H84" s="45">
        <f>(3959.4+15834.4)/F84</f>
        <v>1979.3799999999999</v>
      </c>
      <c r="I84" s="60">
        <f t="shared" ref="I84:I86" si="4">F84*H84</f>
        <v>19793.8</v>
      </c>
      <c r="J84" s="13" t="s">
        <v>117</v>
      </c>
      <c r="L84" s="2"/>
    </row>
    <row r="85" spans="1:12" ht="46.5" customHeight="1" x14ac:dyDescent="0.25">
      <c r="A85" s="9"/>
      <c r="B85" s="8"/>
      <c r="C85" s="4"/>
      <c r="D85" s="15" t="s">
        <v>193</v>
      </c>
      <c r="E85" s="41" t="s">
        <v>139</v>
      </c>
      <c r="F85" s="41">
        <f>1+1</f>
        <v>2</v>
      </c>
      <c r="G85" s="13" t="s">
        <v>31</v>
      </c>
      <c r="H85" s="45">
        <f>(1434.4+1452.8)/F85</f>
        <v>1443.6</v>
      </c>
      <c r="I85" s="69">
        <f t="shared" si="4"/>
        <v>2887.2</v>
      </c>
      <c r="J85" s="13" t="s">
        <v>117</v>
      </c>
      <c r="L85" s="2"/>
    </row>
    <row r="86" spans="1:12" ht="46.5" customHeight="1" x14ac:dyDescent="0.25">
      <c r="A86" s="9"/>
      <c r="B86" s="8"/>
      <c r="C86" s="4"/>
      <c r="D86" s="15" t="s">
        <v>248</v>
      </c>
      <c r="E86" s="41"/>
      <c r="F86" s="41">
        <v>352</v>
      </c>
      <c r="G86" s="38" t="s">
        <v>249</v>
      </c>
      <c r="H86" s="45">
        <f>492.2/F86</f>
        <v>1.3982954545454545</v>
      </c>
      <c r="I86" s="41">
        <f t="shared" si="4"/>
        <v>492.2</v>
      </c>
      <c r="J86" s="13" t="s">
        <v>120</v>
      </c>
      <c r="L86" s="2"/>
    </row>
    <row r="87" spans="1:12" ht="46.5" customHeight="1" x14ac:dyDescent="0.25">
      <c r="A87" s="9"/>
      <c r="B87" s="8"/>
      <c r="C87" s="4"/>
      <c r="D87" s="15" t="s">
        <v>160</v>
      </c>
      <c r="E87" s="41"/>
      <c r="F87" s="41"/>
      <c r="G87" s="13" t="s">
        <v>31</v>
      </c>
      <c r="H87" s="41"/>
      <c r="I87" s="41" t="s">
        <v>139</v>
      </c>
      <c r="J87" s="13"/>
      <c r="L87" s="2"/>
    </row>
    <row r="88" spans="1:12" ht="46.5" customHeight="1" x14ac:dyDescent="0.25">
      <c r="A88" s="9"/>
      <c r="B88" s="8"/>
      <c r="C88" s="4"/>
      <c r="D88" s="15" t="s">
        <v>245</v>
      </c>
      <c r="E88" s="41"/>
      <c r="F88" s="41">
        <f>5</f>
        <v>5</v>
      </c>
      <c r="G88" s="13" t="s">
        <v>31</v>
      </c>
      <c r="H88" s="41">
        <f>2748.2/F88</f>
        <v>549.64</v>
      </c>
      <c r="I88" s="60">
        <f>F88*H88</f>
        <v>2748.2</v>
      </c>
      <c r="J88" s="13" t="s">
        <v>117</v>
      </c>
      <c r="L88" s="2"/>
    </row>
    <row r="89" spans="1:12" ht="46.5" customHeight="1" x14ac:dyDescent="0.25">
      <c r="A89" s="9"/>
      <c r="B89" s="8"/>
      <c r="C89" s="4"/>
      <c r="D89" s="15" t="s">
        <v>132</v>
      </c>
      <c r="E89" s="41"/>
      <c r="F89" s="41">
        <f>18+4</f>
        <v>22</v>
      </c>
      <c r="G89" s="13" t="s">
        <v>31</v>
      </c>
      <c r="H89" s="45">
        <f>(21719.6+4878.2)/F89</f>
        <v>1208.9909090909091</v>
      </c>
      <c r="I89" s="60">
        <f>F89*H89</f>
        <v>26597.8</v>
      </c>
      <c r="J89" s="13" t="s">
        <v>117</v>
      </c>
      <c r="L89" s="2"/>
    </row>
    <row r="90" spans="1:12" ht="31.5" x14ac:dyDescent="0.25">
      <c r="A90" s="9" t="s">
        <v>83</v>
      </c>
      <c r="B90" s="8"/>
      <c r="C90" s="4"/>
      <c r="D90" s="15" t="s">
        <v>155</v>
      </c>
      <c r="E90" s="41" t="s">
        <v>139</v>
      </c>
      <c r="F90" s="41" t="s">
        <v>139</v>
      </c>
      <c r="G90" s="13" t="s">
        <v>54</v>
      </c>
      <c r="H90" s="41"/>
      <c r="I90" s="41" t="s">
        <v>139</v>
      </c>
      <c r="J90" s="13"/>
      <c r="L90" s="2"/>
    </row>
    <row r="91" spans="1:12" ht="31.5" x14ac:dyDescent="0.25">
      <c r="A91" s="9"/>
      <c r="B91" s="8"/>
      <c r="C91" s="4"/>
      <c r="D91" s="15" t="s">
        <v>156</v>
      </c>
      <c r="E91" s="41" t="s">
        <v>139</v>
      </c>
      <c r="F91" s="41" t="s">
        <v>139</v>
      </c>
      <c r="G91" s="13" t="s">
        <v>54</v>
      </c>
      <c r="H91" s="41"/>
      <c r="I91" s="41" t="s">
        <v>139</v>
      </c>
      <c r="J91" s="13"/>
      <c r="L91" s="2"/>
    </row>
    <row r="92" spans="1:12" ht="31.5" x14ac:dyDescent="0.25">
      <c r="A92" s="9"/>
      <c r="B92" s="8"/>
      <c r="C92" s="4"/>
      <c r="D92" s="15" t="s">
        <v>203</v>
      </c>
      <c r="E92" s="41"/>
      <c r="F92" s="41">
        <f>2+15+11+2</f>
        <v>30</v>
      </c>
      <c r="G92" s="13" t="s">
        <v>31</v>
      </c>
      <c r="H92" s="45">
        <f>(2463.6+22587.8+13297.8+2637)/F92</f>
        <v>1366.2066666666665</v>
      </c>
      <c r="I92" s="60">
        <f>F92*H92</f>
        <v>40986.199999999997</v>
      </c>
      <c r="J92" s="13" t="s">
        <v>115</v>
      </c>
      <c r="L92" s="2"/>
    </row>
    <row r="93" spans="1:12" ht="18.75" x14ac:dyDescent="0.25">
      <c r="A93" s="9"/>
      <c r="B93" s="8"/>
      <c r="C93" s="4"/>
      <c r="D93" s="15" t="s">
        <v>241</v>
      </c>
      <c r="E93" s="41"/>
      <c r="F93" s="41">
        <f>2+2</f>
        <v>4</v>
      </c>
      <c r="G93" s="13" t="s">
        <v>31</v>
      </c>
      <c r="H93" s="41">
        <f>(76073+76073)/F93</f>
        <v>38036.5</v>
      </c>
      <c r="I93" s="60">
        <f>F93*H93</f>
        <v>152146</v>
      </c>
      <c r="J93" s="13" t="s">
        <v>117</v>
      </c>
      <c r="L93" s="2"/>
    </row>
    <row r="94" spans="1:12" ht="18.75" x14ac:dyDescent="0.25">
      <c r="A94" s="9"/>
      <c r="B94" s="8"/>
      <c r="C94" s="4"/>
      <c r="D94" s="15" t="s">
        <v>187</v>
      </c>
      <c r="E94" s="41"/>
      <c r="F94" s="41">
        <f>1</f>
        <v>1</v>
      </c>
      <c r="G94" s="13" t="s">
        <v>31</v>
      </c>
      <c r="H94" s="41">
        <f>6542.4/F94</f>
        <v>6542.4</v>
      </c>
      <c r="I94" s="60">
        <f>F94*H94</f>
        <v>6542.4</v>
      </c>
      <c r="J94" s="13" t="s">
        <v>117</v>
      </c>
      <c r="L94" s="2"/>
    </row>
    <row r="95" spans="1:12" ht="18.75" x14ac:dyDescent="0.25">
      <c r="A95" s="9"/>
      <c r="B95" s="8"/>
      <c r="C95" s="4"/>
      <c r="D95" s="15" t="s">
        <v>157</v>
      </c>
      <c r="E95" s="41"/>
      <c r="F95" s="41"/>
      <c r="G95" s="13" t="s">
        <v>158</v>
      </c>
      <c r="H95" s="41"/>
      <c r="I95" s="41"/>
      <c r="J95" s="13"/>
      <c r="L95" s="2"/>
    </row>
    <row r="96" spans="1:12" ht="18.75" x14ac:dyDescent="0.25">
      <c r="A96" s="9" t="s">
        <v>20</v>
      </c>
      <c r="B96" s="8"/>
      <c r="C96" s="4"/>
      <c r="D96" s="15" t="s">
        <v>68</v>
      </c>
      <c r="E96" s="41" t="s">
        <v>139</v>
      </c>
      <c r="F96" s="41" t="s">
        <v>139</v>
      </c>
      <c r="G96" s="13" t="s">
        <v>30</v>
      </c>
      <c r="H96" s="41"/>
      <c r="I96" s="41" t="s">
        <v>139</v>
      </c>
      <c r="J96" s="13"/>
      <c r="L96" s="2"/>
    </row>
    <row r="97" spans="1:12" ht="31.5" x14ac:dyDescent="0.25">
      <c r="A97" s="9" t="s">
        <v>21</v>
      </c>
      <c r="B97" s="8"/>
      <c r="C97" s="4"/>
      <c r="D97" s="15" t="s">
        <v>70</v>
      </c>
      <c r="E97" s="41" t="s">
        <v>139</v>
      </c>
      <c r="F97" s="41"/>
      <c r="G97" s="13" t="s">
        <v>54</v>
      </c>
      <c r="H97" s="41"/>
      <c r="I97" s="60"/>
      <c r="J97" s="13"/>
      <c r="L97" s="2"/>
    </row>
    <row r="98" spans="1:12" ht="18.75" x14ac:dyDescent="0.25">
      <c r="A98" s="47"/>
      <c r="B98" s="48"/>
      <c r="C98" s="22"/>
      <c r="D98" s="30"/>
      <c r="E98" s="46"/>
      <c r="F98" s="46"/>
      <c r="G98" s="31"/>
      <c r="H98" s="41"/>
      <c r="I98" s="45">
        <f>SUM(I77:I97)</f>
        <v>658796.6</v>
      </c>
      <c r="J98" s="13"/>
      <c r="L98" s="2"/>
    </row>
    <row r="99" spans="1:12" ht="18.75" x14ac:dyDescent="0.3">
      <c r="A99" s="75" t="s">
        <v>71</v>
      </c>
      <c r="B99" s="76"/>
      <c r="C99" s="76"/>
      <c r="D99" s="76"/>
      <c r="E99" s="76"/>
      <c r="F99" s="76"/>
      <c r="G99" s="77"/>
      <c r="H99" s="19"/>
      <c r="I99" s="5"/>
      <c r="J99" s="13"/>
      <c r="L99" s="2"/>
    </row>
    <row r="100" spans="1:12" ht="37.5" x14ac:dyDescent="0.25">
      <c r="A100" s="9" t="s">
        <v>91</v>
      </c>
      <c r="B100" s="8"/>
      <c r="C100" s="4"/>
      <c r="D100" s="4" t="s">
        <v>127</v>
      </c>
      <c r="E100" s="31"/>
      <c r="F100" s="13">
        <f>6+4+4+18+4+8+4+6+4+3+7+2</f>
        <v>70</v>
      </c>
      <c r="G100" s="13" t="s">
        <v>114</v>
      </c>
      <c r="H100" s="33">
        <f>(4212.2+2808.4+2808.4+12717+2829.04+5651.6+2937.2+4405.2+2937.2+2231.8+5203.6+1486.6)/F100</f>
        <v>717.54628571428555</v>
      </c>
      <c r="I100" s="33">
        <f>F100*H100</f>
        <v>50228.239999999991</v>
      </c>
      <c r="J100" s="13" t="s">
        <v>115</v>
      </c>
      <c r="L100" s="2"/>
    </row>
    <row r="101" spans="1:12" ht="18.75" x14ac:dyDescent="0.25">
      <c r="A101" s="9"/>
      <c r="B101" s="8"/>
      <c r="C101" s="4"/>
      <c r="D101" s="15" t="s">
        <v>161</v>
      </c>
      <c r="E101" s="41" t="s">
        <v>139</v>
      </c>
      <c r="F101" s="41" t="s">
        <v>139</v>
      </c>
      <c r="G101" s="13" t="s">
        <v>31</v>
      </c>
      <c r="H101" s="41"/>
      <c r="I101" s="41" t="s">
        <v>139</v>
      </c>
      <c r="J101" s="13"/>
      <c r="L101" s="2"/>
    </row>
    <row r="102" spans="1:12" ht="18.75" x14ac:dyDescent="0.25">
      <c r="A102" s="9"/>
      <c r="B102" s="8"/>
      <c r="C102" s="4"/>
      <c r="D102" s="15" t="s">
        <v>153</v>
      </c>
      <c r="E102" s="41" t="s">
        <v>139</v>
      </c>
      <c r="F102" s="41">
        <f>2</f>
        <v>2</v>
      </c>
      <c r="G102" s="13" t="s">
        <v>31</v>
      </c>
      <c r="H102" s="41">
        <f>5018.2/F102</f>
        <v>2509.1</v>
      </c>
      <c r="I102" s="41">
        <f>F102*H102</f>
        <v>5018.2</v>
      </c>
      <c r="J102" s="13" t="s">
        <v>117</v>
      </c>
      <c r="L102" s="2"/>
    </row>
    <row r="103" spans="1:12" ht="31.5" x14ac:dyDescent="0.25">
      <c r="A103" s="9"/>
      <c r="B103" s="8"/>
      <c r="C103" s="4"/>
      <c r="D103" s="15" t="s">
        <v>159</v>
      </c>
      <c r="E103" s="41" t="s">
        <v>139</v>
      </c>
      <c r="F103" s="41">
        <f>1</f>
        <v>1</v>
      </c>
      <c r="G103" s="13" t="s">
        <v>150</v>
      </c>
      <c r="H103" s="41">
        <f>7379.6/F103</f>
        <v>7379.6</v>
      </c>
      <c r="I103" s="60">
        <f>F103*H103</f>
        <v>7379.6</v>
      </c>
      <c r="J103" s="13" t="s">
        <v>120</v>
      </c>
      <c r="L103" s="2"/>
    </row>
    <row r="104" spans="1:12" ht="18.75" x14ac:dyDescent="0.25">
      <c r="A104" s="9"/>
      <c r="B104" s="8"/>
      <c r="C104" s="4"/>
      <c r="D104" s="15" t="s">
        <v>132</v>
      </c>
      <c r="E104" s="41"/>
      <c r="F104" s="41">
        <f>4</f>
        <v>4</v>
      </c>
      <c r="G104" s="13" t="s">
        <v>31</v>
      </c>
      <c r="H104" s="45">
        <f>(4878.2)/F104</f>
        <v>1219.55</v>
      </c>
      <c r="I104" s="60">
        <f>F104*H104</f>
        <v>4878.2</v>
      </c>
      <c r="J104" s="13" t="s">
        <v>117</v>
      </c>
      <c r="L104" s="2"/>
    </row>
    <row r="105" spans="1:12" ht="31.5" x14ac:dyDescent="0.25">
      <c r="A105" s="9"/>
      <c r="B105" s="8"/>
      <c r="C105" s="4"/>
      <c r="D105" s="15" t="s">
        <v>184</v>
      </c>
      <c r="E105" s="41"/>
      <c r="F105" s="41">
        <f>3+1</f>
        <v>4</v>
      </c>
      <c r="G105" s="13" t="s">
        <v>176</v>
      </c>
      <c r="H105" s="45">
        <f>(1647.2+547.4)/F105</f>
        <v>548.65</v>
      </c>
      <c r="I105" s="60">
        <f>F105*H105</f>
        <v>2194.6</v>
      </c>
      <c r="J105" s="13" t="s">
        <v>117</v>
      </c>
      <c r="L105" s="2"/>
    </row>
    <row r="106" spans="1:12" ht="31.5" x14ac:dyDescent="0.25">
      <c r="A106" s="9"/>
      <c r="B106" s="8"/>
      <c r="C106" s="4"/>
      <c r="D106" s="15" t="s">
        <v>175</v>
      </c>
      <c r="E106" s="41"/>
      <c r="F106" s="41">
        <f>1</f>
        <v>1</v>
      </c>
      <c r="G106" s="13" t="s">
        <v>176</v>
      </c>
      <c r="H106" s="45">
        <f>977.4/F106</f>
        <v>977.4</v>
      </c>
      <c r="I106" s="60">
        <f>F106*H106</f>
        <v>977.4</v>
      </c>
      <c r="J106" s="13" t="s">
        <v>117</v>
      </c>
      <c r="L106" s="2"/>
    </row>
    <row r="107" spans="1:12" ht="18.75" x14ac:dyDescent="0.25">
      <c r="A107" s="9" t="s">
        <v>83</v>
      </c>
      <c r="B107" s="8"/>
      <c r="C107" s="4"/>
      <c r="D107" s="15" t="s">
        <v>69</v>
      </c>
      <c r="E107" s="41" t="s">
        <v>139</v>
      </c>
      <c r="F107" s="41" t="s">
        <v>139</v>
      </c>
      <c r="G107" s="13" t="s">
        <v>54</v>
      </c>
      <c r="H107" s="41"/>
      <c r="I107" s="41" t="s">
        <v>139</v>
      </c>
      <c r="J107" s="13"/>
      <c r="L107" s="2"/>
    </row>
    <row r="108" spans="1:12" ht="18.75" x14ac:dyDescent="0.25">
      <c r="A108" s="9"/>
      <c r="B108" s="8"/>
      <c r="C108" s="4"/>
      <c r="D108" s="15" t="s">
        <v>246</v>
      </c>
      <c r="E108" s="41" t="s">
        <v>139</v>
      </c>
      <c r="F108" s="41">
        <f>5+1+1+3+1</f>
        <v>11</v>
      </c>
      <c r="G108" s="13" t="s">
        <v>31</v>
      </c>
      <c r="H108" s="45">
        <f>(6043.4+1764.6+1210+3662.2+1288.4)/F108</f>
        <v>1269.8727272727274</v>
      </c>
      <c r="I108" s="60">
        <f>F108*H108</f>
        <v>13968.600000000002</v>
      </c>
      <c r="J108" s="13" t="s">
        <v>120</v>
      </c>
      <c r="L108" s="2"/>
    </row>
    <row r="109" spans="1:12" ht="31.5" x14ac:dyDescent="0.25">
      <c r="A109" s="9" t="s">
        <v>21</v>
      </c>
      <c r="B109" s="8"/>
      <c r="C109" s="4"/>
      <c r="D109" s="15" t="s">
        <v>70</v>
      </c>
      <c r="E109" s="41" t="s">
        <v>139</v>
      </c>
      <c r="F109" s="41" t="s">
        <v>139</v>
      </c>
      <c r="G109" s="13" t="s">
        <v>143</v>
      </c>
      <c r="H109" s="41"/>
      <c r="I109" s="41" t="s">
        <v>139</v>
      </c>
      <c r="J109" s="13"/>
      <c r="L109" s="2"/>
    </row>
    <row r="110" spans="1:12" ht="18.75" x14ac:dyDescent="0.25">
      <c r="A110" s="47"/>
      <c r="B110" s="48"/>
      <c r="C110" s="22"/>
      <c r="D110" s="30"/>
      <c r="E110" s="46"/>
      <c r="F110" s="46"/>
      <c r="G110" s="31"/>
      <c r="H110" s="41"/>
      <c r="I110" s="41">
        <f>SUM(I100:I109)</f>
        <v>84644.84</v>
      </c>
      <c r="J110" s="13"/>
      <c r="L110" s="2"/>
    </row>
    <row r="111" spans="1:12" ht="18.75" x14ac:dyDescent="0.3">
      <c r="A111" s="75" t="s">
        <v>72</v>
      </c>
      <c r="B111" s="76"/>
      <c r="C111" s="76"/>
      <c r="D111" s="76"/>
      <c r="E111" s="76"/>
      <c r="F111" s="76"/>
      <c r="G111" s="77"/>
      <c r="H111" s="13"/>
      <c r="I111" s="5"/>
      <c r="J111" s="13"/>
      <c r="L111" s="2"/>
    </row>
    <row r="112" spans="1:12" ht="37.5" x14ac:dyDescent="0.25">
      <c r="A112" s="9" t="s">
        <v>91</v>
      </c>
      <c r="B112" s="8"/>
      <c r="C112" s="4"/>
      <c r="D112" s="4" t="s">
        <v>128</v>
      </c>
      <c r="E112" s="31"/>
      <c r="F112" s="13">
        <f>6+4+4+18+4+8+4+6+4+3+7+2</f>
        <v>70</v>
      </c>
      <c r="G112" s="13" t="s">
        <v>114</v>
      </c>
      <c r="H112" s="33">
        <f>(4212.2+2808.4+2808.4+12717+2829.04+5651.6+2937.2+4405.2+2937.2+2231.8+5203.6+1486.6)/F112</f>
        <v>717.54628571428555</v>
      </c>
      <c r="I112" s="33">
        <f>F112*H112</f>
        <v>50228.239999999991</v>
      </c>
      <c r="J112" s="13" t="s">
        <v>115</v>
      </c>
      <c r="L112" s="2"/>
    </row>
    <row r="113" spans="1:12" ht="31.5" x14ac:dyDescent="0.25">
      <c r="A113" s="9"/>
      <c r="B113" s="8"/>
      <c r="C113" s="4"/>
      <c r="D113" s="15" t="s">
        <v>195</v>
      </c>
      <c r="E113" s="41" t="s">
        <v>139</v>
      </c>
      <c r="F113" s="41">
        <f>1</f>
        <v>1</v>
      </c>
      <c r="G113" s="13" t="s">
        <v>30</v>
      </c>
      <c r="H113" s="41">
        <f>1386.8/F113</f>
        <v>1386.8</v>
      </c>
      <c r="I113" s="60">
        <f>F113*H113</f>
        <v>1386.8</v>
      </c>
      <c r="J113" s="13" t="s">
        <v>122</v>
      </c>
      <c r="L113" s="2"/>
    </row>
    <row r="114" spans="1:12" ht="18.75" x14ac:dyDescent="0.25">
      <c r="A114" s="9"/>
      <c r="B114" s="8"/>
      <c r="C114" s="4"/>
      <c r="D114" s="15" t="s">
        <v>165</v>
      </c>
      <c r="E114" s="41" t="s">
        <v>139</v>
      </c>
      <c r="F114" s="41" t="s">
        <v>139</v>
      </c>
      <c r="G114" s="13" t="s">
        <v>31</v>
      </c>
      <c r="H114" s="41"/>
      <c r="I114" s="41" t="s">
        <v>139</v>
      </c>
      <c r="J114" s="13"/>
      <c r="L114" s="2"/>
    </row>
    <row r="115" spans="1:12" ht="18.75" x14ac:dyDescent="0.25">
      <c r="A115" s="9" t="s">
        <v>83</v>
      </c>
      <c r="B115" s="8"/>
      <c r="C115" s="4"/>
      <c r="D115" s="15" t="s">
        <v>69</v>
      </c>
      <c r="E115" s="41" t="s">
        <v>139</v>
      </c>
      <c r="F115" s="41" t="s">
        <v>139</v>
      </c>
      <c r="G115" s="14" t="s">
        <v>54</v>
      </c>
      <c r="H115" s="41"/>
      <c r="I115" s="41" t="s">
        <v>139</v>
      </c>
      <c r="J115" s="13"/>
      <c r="L115" s="2"/>
    </row>
    <row r="116" spans="1:12" ht="18.75" x14ac:dyDescent="0.25">
      <c r="A116" s="9"/>
      <c r="B116" s="8"/>
      <c r="C116" s="4"/>
      <c r="D116" s="15" t="s">
        <v>183</v>
      </c>
      <c r="E116" s="41" t="s">
        <v>139</v>
      </c>
      <c r="F116" s="41">
        <f>2+1+1+1</f>
        <v>5</v>
      </c>
      <c r="G116" s="13" t="s">
        <v>31</v>
      </c>
      <c r="H116" s="45">
        <f>(2576.8+1210+1221+1288.4)/F116</f>
        <v>1259.2400000000002</v>
      </c>
      <c r="I116" s="60">
        <f>F116*H116</f>
        <v>6296.2000000000007</v>
      </c>
      <c r="J116" s="13" t="s">
        <v>122</v>
      </c>
      <c r="L116" s="2"/>
    </row>
    <row r="117" spans="1:12" ht="31.5" x14ac:dyDescent="0.25">
      <c r="A117" s="9" t="s">
        <v>21</v>
      </c>
      <c r="B117" s="8"/>
      <c r="C117" s="4"/>
      <c r="D117" s="15" t="s">
        <v>70</v>
      </c>
      <c r="E117" s="41" t="s">
        <v>139</v>
      </c>
      <c r="F117" s="41" t="s">
        <v>139</v>
      </c>
      <c r="G117" s="14" t="s">
        <v>54</v>
      </c>
      <c r="H117" s="41"/>
      <c r="I117" s="41" t="s">
        <v>139</v>
      </c>
      <c r="J117" s="13"/>
      <c r="L117" s="2"/>
    </row>
    <row r="118" spans="1:12" ht="18.75" x14ac:dyDescent="0.25">
      <c r="A118" s="47"/>
      <c r="B118" s="48"/>
      <c r="C118" s="22"/>
      <c r="D118" s="30"/>
      <c r="E118" s="46"/>
      <c r="F118" s="46"/>
      <c r="G118" s="12"/>
      <c r="H118" s="41"/>
      <c r="I118" s="41">
        <f>SUM(I112:I117)</f>
        <v>57911.239999999991</v>
      </c>
      <c r="J118" s="13"/>
      <c r="L118" s="2"/>
    </row>
    <row r="119" spans="1:12" ht="18.75" x14ac:dyDescent="0.3">
      <c r="A119" s="75" t="s">
        <v>73</v>
      </c>
      <c r="B119" s="76"/>
      <c r="C119" s="76"/>
      <c r="D119" s="76"/>
      <c r="E119" s="76"/>
      <c r="F119" s="76"/>
      <c r="G119" s="77"/>
      <c r="H119" s="19"/>
      <c r="I119" s="5"/>
      <c r="J119" s="13"/>
      <c r="L119" s="2"/>
    </row>
    <row r="120" spans="1:12" ht="37.5" x14ac:dyDescent="0.25">
      <c r="A120" s="9" t="s">
        <v>97</v>
      </c>
      <c r="B120" s="8"/>
      <c r="C120" s="4"/>
      <c r="D120" s="4" t="s">
        <v>129</v>
      </c>
      <c r="E120" s="31"/>
      <c r="F120" s="13">
        <f>6+4+4+18+4+8+4+6+4+3+7+2</f>
        <v>70</v>
      </c>
      <c r="G120" s="13" t="s">
        <v>114</v>
      </c>
      <c r="H120" s="33">
        <f>(4212.2+2808.4+2808.4+12717+2829.04+5651.6+2937.2+4405.2+2937.2+2231.8+5203.6+1486.6)/F120</f>
        <v>717.54628571428555</v>
      </c>
      <c r="I120" s="33">
        <f>F120*H120</f>
        <v>50228.239999999991</v>
      </c>
      <c r="J120" s="13" t="s">
        <v>115</v>
      </c>
      <c r="L120" s="2"/>
    </row>
    <row r="121" spans="1:12" ht="31.5" x14ac:dyDescent="0.25">
      <c r="A121" s="9"/>
      <c r="B121" s="8"/>
      <c r="C121" s="4"/>
      <c r="D121" s="15" t="s">
        <v>172</v>
      </c>
      <c r="E121" s="41"/>
      <c r="F121" s="41">
        <f>1</f>
        <v>1</v>
      </c>
      <c r="G121" s="13" t="s">
        <v>30</v>
      </c>
      <c r="H121" s="41">
        <f>925.8/F121</f>
        <v>925.8</v>
      </c>
      <c r="I121" s="60">
        <f>F121*H121</f>
        <v>925.8</v>
      </c>
      <c r="J121" s="13" t="s">
        <v>122</v>
      </c>
      <c r="L121" s="2"/>
    </row>
    <row r="122" spans="1:12" ht="31.5" x14ac:dyDescent="0.25">
      <c r="A122" s="9"/>
      <c r="B122" s="8"/>
      <c r="C122" s="4"/>
      <c r="D122" s="15" t="s">
        <v>121</v>
      </c>
      <c r="E122" s="41"/>
      <c r="F122" s="41"/>
      <c r="G122" s="13" t="s">
        <v>30</v>
      </c>
      <c r="H122" s="41"/>
      <c r="I122" s="41" t="s">
        <v>139</v>
      </c>
      <c r="J122" s="13"/>
      <c r="L122" s="2"/>
    </row>
    <row r="123" spans="1:12" ht="18.75" x14ac:dyDescent="0.25">
      <c r="A123" s="9"/>
      <c r="B123" s="8"/>
      <c r="C123" s="4"/>
      <c r="D123" s="4" t="s">
        <v>113</v>
      </c>
      <c r="E123" s="41"/>
      <c r="F123" s="41">
        <f>6+18+8+12+6+4+6+6+6+5+15</f>
        <v>92</v>
      </c>
      <c r="G123" s="13" t="s">
        <v>30</v>
      </c>
      <c r="H123" s="45">
        <f>(2003.4+6019+2677.8+4074.2+2037.2+1415.4+2123.4+2123.4+2146.6+1791.8+5368.8)/F123</f>
        <v>345.44565217391306</v>
      </c>
      <c r="I123" s="41">
        <f>F123*H123</f>
        <v>31781</v>
      </c>
      <c r="J123" s="13" t="s">
        <v>115</v>
      </c>
      <c r="L123" s="2"/>
    </row>
    <row r="124" spans="1:12" ht="47.25" x14ac:dyDescent="0.25">
      <c r="A124" s="9"/>
      <c r="B124" s="8"/>
      <c r="C124" s="4"/>
      <c r="D124" s="15" t="s">
        <v>170</v>
      </c>
      <c r="E124" s="41" t="s">
        <v>139</v>
      </c>
      <c r="F124" s="41" t="s">
        <v>139</v>
      </c>
      <c r="G124" s="13" t="s">
        <v>30</v>
      </c>
      <c r="H124" s="41"/>
      <c r="I124" s="41" t="s">
        <v>139</v>
      </c>
      <c r="J124" s="13"/>
      <c r="L124" s="2"/>
    </row>
    <row r="125" spans="1:12" ht="18.75" x14ac:dyDescent="0.25">
      <c r="A125" s="9"/>
      <c r="B125" s="8"/>
      <c r="C125" s="4"/>
      <c r="D125" s="4" t="s">
        <v>152</v>
      </c>
      <c r="E125" s="41" t="s">
        <v>139</v>
      </c>
      <c r="F125" s="41" t="s">
        <v>139</v>
      </c>
      <c r="G125" s="13" t="s">
        <v>30</v>
      </c>
      <c r="H125" s="41"/>
      <c r="I125" s="41" t="s">
        <v>139</v>
      </c>
      <c r="J125" s="13"/>
      <c r="L125" s="2"/>
    </row>
    <row r="126" spans="1:12" ht="18.75" x14ac:dyDescent="0.25">
      <c r="A126" s="9"/>
      <c r="B126" s="8"/>
      <c r="C126" s="4"/>
      <c r="D126" s="4" t="s">
        <v>162</v>
      </c>
      <c r="E126" s="41" t="s">
        <v>139</v>
      </c>
      <c r="F126" s="41">
        <f>6</f>
        <v>6</v>
      </c>
      <c r="G126" s="13" t="s">
        <v>136</v>
      </c>
      <c r="H126" s="45">
        <f>393.4/F126</f>
        <v>65.566666666666663</v>
      </c>
      <c r="I126" s="41">
        <f>F126*H126</f>
        <v>393.4</v>
      </c>
      <c r="J126" s="13" t="s">
        <v>122</v>
      </c>
      <c r="L126" s="2"/>
    </row>
    <row r="127" spans="1:12" ht="18.75" x14ac:dyDescent="0.25">
      <c r="A127" s="9"/>
      <c r="B127" s="8"/>
      <c r="C127" s="4"/>
      <c r="D127" s="4" t="s">
        <v>163</v>
      </c>
      <c r="E127" s="41" t="s">
        <v>139</v>
      </c>
      <c r="F127" s="41" t="s">
        <v>139</v>
      </c>
      <c r="G127" s="13" t="s">
        <v>136</v>
      </c>
      <c r="H127" s="41"/>
      <c r="I127" s="41" t="s">
        <v>139</v>
      </c>
      <c r="J127" s="13"/>
      <c r="L127" s="2"/>
    </row>
    <row r="128" spans="1:12" ht="18.75" x14ac:dyDescent="0.25">
      <c r="A128" s="9" t="s">
        <v>22</v>
      </c>
      <c r="B128" s="8"/>
      <c r="C128" s="4"/>
      <c r="D128" s="4" t="s">
        <v>76</v>
      </c>
      <c r="E128" s="41" t="s">
        <v>139</v>
      </c>
      <c r="F128" s="41" t="s">
        <v>139</v>
      </c>
      <c r="G128" s="13" t="s">
        <v>30</v>
      </c>
      <c r="H128" s="41"/>
      <c r="I128" s="41" t="s">
        <v>139</v>
      </c>
      <c r="J128" s="13"/>
      <c r="L128" s="2"/>
    </row>
    <row r="129" spans="1:12" ht="18.75" x14ac:dyDescent="0.25">
      <c r="A129" s="47"/>
      <c r="B129" s="48"/>
      <c r="C129" s="22"/>
      <c r="D129" s="22"/>
      <c r="E129" s="46"/>
      <c r="F129" s="46"/>
      <c r="G129" s="31"/>
      <c r="H129" s="41"/>
      <c r="I129" s="45">
        <f>SUM(I120:I128)</f>
        <v>83328.439999999988</v>
      </c>
      <c r="J129" s="13"/>
      <c r="L129" s="2"/>
    </row>
    <row r="130" spans="1:12" ht="18.75" x14ac:dyDescent="0.3">
      <c r="A130" s="75" t="s">
        <v>78</v>
      </c>
      <c r="B130" s="76"/>
      <c r="C130" s="76"/>
      <c r="D130" s="76"/>
      <c r="E130" s="76"/>
      <c r="F130" s="76"/>
      <c r="G130" s="77"/>
      <c r="H130" s="5"/>
      <c r="I130" s="5"/>
      <c r="J130" s="13"/>
      <c r="L130" s="2"/>
    </row>
    <row r="131" spans="1:12" ht="38.25" customHeight="1" x14ac:dyDescent="0.25">
      <c r="A131" s="9" t="s">
        <v>23</v>
      </c>
      <c r="B131" s="5"/>
      <c r="C131" s="4"/>
      <c r="D131" s="15" t="s">
        <v>141</v>
      </c>
      <c r="E131" s="41"/>
      <c r="F131" s="41"/>
      <c r="G131" s="13" t="s">
        <v>54</v>
      </c>
      <c r="H131" s="45"/>
      <c r="I131" s="41"/>
      <c r="J131" s="13"/>
      <c r="L131" s="2"/>
    </row>
    <row r="132" spans="1:12" ht="18.75" x14ac:dyDescent="0.25">
      <c r="A132" s="9" t="s">
        <v>24</v>
      </c>
      <c r="B132" s="5"/>
      <c r="C132" s="4"/>
      <c r="D132" s="4" t="s">
        <v>77</v>
      </c>
      <c r="E132" s="41"/>
      <c r="F132" s="41"/>
      <c r="G132" s="13" t="s">
        <v>54</v>
      </c>
      <c r="H132" s="41"/>
      <c r="I132" s="41" t="s">
        <v>139</v>
      </c>
      <c r="J132" s="13"/>
      <c r="L132" s="2"/>
    </row>
    <row r="133" spans="1:12" ht="31.5" x14ac:dyDescent="0.25">
      <c r="A133" s="9" t="s">
        <v>125</v>
      </c>
      <c r="B133" s="5"/>
      <c r="C133" s="4"/>
      <c r="D133" s="15" t="s">
        <v>149</v>
      </c>
      <c r="E133" s="41"/>
      <c r="F133" s="41"/>
      <c r="G133" s="13" t="s">
        <v>54</v>
      </c>
      <c r="H133" s="41"/>
      <c r="I133" s="41" t="s">
        <v>139</v>
      </c>
      <c r="J133" s="13"/>
      <c r="L133" s="2"/>
    </row>
    <row r="134" spans="1:12" ht="31.5" x14ac:dyDescent="0.25">
      <c r="A134" s="9"/>
      <c r="B134" s="5"/>
      <c r="C134" s="4"/>
      <c r="D134" s="15" t="s">
        <v>126</v>
      </c>
      <c r="E134" s="41"/>
      <c r="F134" s="41">
        <f>1+3+1+1</f>
        <v>6</v>
      </c>
      <c r="G134" s="13" t="s">
        <v>31</v>
      </c>
      <c r="H134" s="45">
        <f>(8283.2+2109.4+2122.4)/F134</f>
        <v>2085.8333333333335</v>
      </c>
      <c r="I134" s="60">
        <f t="shared" ref="I134:I139" si="5">F134*H134</f>
        <v>12515</v>
      </c>
      <c r="J134" s="13" t="s">
        <v>122</v>
      </c>
      <c r="L134" s="2"/>
    </row>
    <row r="135" spans="1:12" ht="31.5" x14ac:dyDescent="0.25">
      <c r="A135" s="9"/>
      <c r="B135" s="5"/>
      <c r="C135" s="4"/>
      <c r="D135" s="15" t="s">
        <v>228</v>
      </c>
      <c r="E135" s="41"/>
      <c r="F135" s="41">
        <v>38</v>
      </c>
      <c r="G135" s="13" t="s">
        <v>31</v>
      </c>
      <c r="H135" s="41">
        <f>6258.6/F135</f>
        <v>164.70000000000002</v>
      </c>
      <c r="I135" s="70">
        <f t="shared" si="5"/>
        <v>6258.6</v>
      </c>
      <c r="J135" s="13" t="s">
        <v>122</v>
      </c>
      <c r="L135" s="2"/>
    </row>
    <row r="136" spans="1:12" ht="47.25" customHeight="1" x14ac:dyDescent="0.25">
      <c r="A136" s="9"/>
      <c r="B136" s="5"/>
      <c r="C136" s="4"/>
      <c r="D136" s="15" t="s">
        <v>229</v>
      </c>
      <c r="E136" s="41"/>
      <c r="F136" s="41">
        <f>38</f>
        <v>38</v>
      </c>
      <c r="G136" s="13" t="s">
        <v>54</v>
      </c>
      <c r="H136" s="45">
        <f>40851.6/F136</f>
        <v>1075.042105263158</v>
      </c>
      <c r="I136" s="70">
        <f t="shared" si="5"/>
        <v>40851.600000000006</v>
      </c>
      <c r="J136" s="13" t="s">
        <v>122</v>
      </c>
      <c r="L136" s="2"/>
    </row>
    <row r="137" spans="1:12" ht="47.25" customHeight="1" x14ac:dyDescent="0.25">
      <c r="A137" s="9"/>
      <c r="B137" s="5"/>
      <c r="C137" s="4"/>
      <c r="D137" s="15" t="s">
        <v>230</v>
      </c>
      <c r="E137" s="41"/>
      <c r="F137" s="41">
        <f>40</f>
        <v>40</v>
      </c>
      <c r="G137" s="13" t="s">
        <v>146</v>
      </c>
      <c r="H137" s="45">
        <f>10905.2/F137</f>
        <v>272.63</v>
      </c>
      <c r="I137" s="70">
        <f t="shared" si="5"/>
        <v>10905.2</v>
      </c>
      <c r="J137" s="13" t="s">
        <v>122</v>
      </c>
      <c r="L137" s="2"/>
    </row>
    <row r="138" spans="1:12" ht="47.25" customHeight="1" x14ac:dyDescent="0.25">
      <c r="A138" s="9"/>
      <c r="B138" s="5"/>
      <c r="C138" s="4"/>
      <c r="D138" s="15" t="s">
        <v>231</v>
      </c>
      <c r="E138" s="41"/>
      <c r="F138" s="41">
        <v>30</v>
      </c>
      <c r="G138" s="13" t="s">
        <v>146</v>
      </c>
      <c r="H138" s="45">
        <f>11429.6/F138</f>
        <v>380.98666666666668</v>
      </c>
      <c r="I138" s="70">
        <f t="shared" si="5"/>
        <v>11429.6</v>
      </c>
      <c r="J138" s="13" t="s">
        <v>122</v>
      </c>
      <c r="L138" s="2"/>
    </row>
    <row r="139" spans="1:12" ht="47.25" customHeight="1" x14ac:dyDescent="0.25">
      <c r="A139" s="9"/>
      <c r="B139" s="5"/>
      <c r="C139" s="4"/>
      <c r="D139" s="15" t="s">
        <v>232</v>
      </c>
      <c r="E139" s="41"/>
      <c r="F139" s="41">
        <v>37</v>
      </c>
      <c r="G139" s="13" t="s">
        <v>31</v>
      </c>
      <c r="H139" s="45">
        <f>48653.8/F139</f>
        <v>1314.9675675675676</v>
      </c>
      <c r="I139" s="70">
        <f t="shared" si="5"/>
        <v>48653.8</v>
      </c>
      <c r="J139" s="13" t="s">
        <v>122</v>
      </c>
      <c r="L139" s="2"/>
    </row>
    <row r="140" spans="1:12" ht="18.75" x14ac:dyDescent="0.25">
      <c r="A140" s="9"/>
      <c r="B140" s="5"/>
      <c r="C140" s="4"/>
      <c r="D140" s="15" t="s">
        <v>106</v>
      </c>
      <c r="E140" s="32"/>
      <c r="F140" s="13">
        <f>7+5+3+5+6+26+17+4+6+13+3+25</f>
        <v>120</v>
      </c>
      <c r="G140" s="13" t="s">
        <v>54</v>
      </c>
      <c r="H140" s="33">
        <f>(1450.8+1037+622.2+1037+1014.8+4730.6+2918+686.2+1029+2242.2+518+9749.2)/F140</f>
        <v>225.29166666666669</v>
      </c>
      <c r="I140" s="13">
        <f t="shared" ref="I140" si="6">F140*H140</f>
        <v>27035.000000000004</v>
      </c>
      <c r="J140" s="13" t="s">
        <v>115</v>
      </c>
      <c r="L140" s="2"/>
    </row>
    <row r="141" spans="1:12" ht="18.75" x14ac:dyDescent="0.25">
      <c r="A141" s="9"/>
      <c r="B141" s="5"/>
      <c r="C141" s="4"/>
      <c r="D141" s="15" t="s">
        <v>247</v>
      </c>
      <c r="E141" s="32"/>
      <c r="F141" s="31">
        <f>5+1+16</f>
        <v>22</v>
      </c>
      <c r="G141" s="13" t="s">
        <v>31</v>
      </c>
      <c r="H141" s="71">
        <f>(411.8+82+1313.2)/F141</f>
        <v>82.13636363636364</v>
      </c>
      <c r="I141" s="31">
        <f>F141*H141</f>
        <v>1807</v>
      </c>
      <c r="J141" s="13" t="s">
        <v>120</v>
      </c>
      <c r="L141" s="2"/>
    </row>
    <row r="142" spans="1:12" ht="18.75" x14ac:dyDescent="0.25">
      <c r="A142" s="9"/>
      <c r="B142" s="5"/>
      <c r="C142" s="4"/>
      <c r="D142" s="15" t="s">
        <v>140</v>
      </c>
      <c r="E142" s="41"/>
      <c r="F142" s="41">
        <f>2+1</f>
        <v>3</v>
      </c>
      <c r="G142" s="13" t="s">
        <v>31</v>
      </c>
      <c r="H142" s="45">
        <f>(354.2+185.8)/F142</f>
        <v>180</v>
      </c>
      <c r="I142" s="41">
        <f>F142*H142</f>
        <v>540</v>
      </c>
      <c r="J142" s="13" t="s">
        <v>115</v>
      </c>
      <c r="L142" s="2"/>
    </row>
    <row r="143" spans="1:12" ht="56.25" x14ac:dyDescent="0.25">
      <c r="A143" s="9" t="s">
        <v>107</v>
      </c>
      <c r="B143" s="5"/>
      <c r="C143" s="4"/>
      <c r="D143" s="15" t="s">
        <v>123</v>
      </c>
      <c r="E143" s="32"/>
      <c r="F143" s="13">
        <f>27+27+27+27+27+27+27+27+27+27+27+27</f>
        <v>324</v>
      </c>
      <c r="G143" s="13" t="s">
        <v>108</v>
      </c>
      <c r="H143" s="33">
        <f>(1184.2+1184.2+1184.2+1192.2+1192.2+1192.2+1238+1238.4+1238.4+1253.6+1253.6+1253.6)/F143</f>
        <v>45.076543209876547</v>
      </c>
      <c r="I143" s="13">
        <f>F143*H143</f>
        <v>14604.800000000001</v>
      </c>
      <c r="J143" s="13" t="s">
        <v>115</v>
      </c>
      <c r="L143" s="2"/>
    </row>
    <row r="144" spans="1:12" ht="18.75" x14ac:dyDescent="0.25">
      <c r="A144" s="47"/>
      <c r="B144" s="22"/>
      <c r="C144" s="22"/>
      <c r="D144" s="30"/>
      <c r="E144" s="49"/>
      <c r="F144" s="50"/>
      <c r="G144" s="31"/>
      <c r="H144" s="31"/>
      <c r="I144" s="13">
        <f>SUM(I131:I143)</f>
        <v>174600.6</v>
      </c>
      <c r="J144" s="13"/>
      <c r="L144" s="2"/>
    </row>
    <row r="145" spans="1:12" ht="18.75" x14ac:dyDescent="0.25">
      <c r="A145" s="82" t="s">
        <v>90</v>
      </c>
      <c r="B145" s="83"/>
      <c r="C145" s="83"/>
      <c r="D145" s="83"/>
      <c r="E145" s="83"/>
      <c r="F145" s="83"/>
      <c r="G145" s="84"/>
      <c r="H145" s="12"/>
      <c r="I145" s="5"/>
      <c r="J145" s="13"/>
      <c r="L145" s="2"/>
    </row>
    <row r="146" spans="1:12" ht="18.75" x14ac:dyDescent="0.25">
      <c r="A146" s="26"/>
      <c r="B146" s="27"/>
      <c r="C146" s="27"/>
      <c r="D146" s="36" t="s">
        <v>116</v>
      </c>
      <c r="E146" s="41"/>
      <c r="F146" s="41">
        <f>2+2+1</f>
        <v>5</v>
      </c>
      <c r="G146" s="38" t="s">
        <v>31</v>
      </c>
      <c r="H146" s="41">
        <f>(2630.4+2710.2+1087.4)/F146</f>
        <v>1285.5999999999999</v>
      </c>
      <c r="I146" s="41">
        <f>F146*H146</f>
        <v>6428</v>
      </c>
      <c r="J146" s="13"/>
      <c r="L146" s="2"/>
    </row>
    <row r="147" spans="1:12" ht="63" x14ac:dyDescent="0.25">
      <c r="A147" s="9" t="s">
        <v>88</v>
      </c>
      <c r="B147" s="22"/>
      <c r="C147" s="22"/>
      <c r="D147" s="23" t="s">
        <v>118</v>
      </c>
      <c r="E147" s="37">
        <v>1060</v>
      </c>
      <c r="F147" s="13">
        <v>1060</v>
      </c>
      <c r="G147" s="31" t="s">
        <v>89</v>
      </c>
      <c r="H147" s="31">
        <v>4.8</v>
      </c>
      <c r="I147" s="13">
        <f>F147*H147*12</f>
        <v>61056</v>
      </c>
      <c r="J147" s="13" t="s">
        <v>115</v>
      </c>
      <c r="L147" s="2"/>
    </row>
    <row r="148" spans="1:12" ht="18.75" x14ac:dyDescent="0.25">
      <c r="A148" s="9"/>
      <c r="B148" s="22"/>
      <c r="C148" s="22"/>
      <c r="D148" s="23" t="s">
        <v>188</v>
      </c>
      <c r="E148" s="37"/>
      <c r="F148" s="13">
        <v>1</v>
      </c>
      <c r="G148" s="31" t="s">
        <v>143</v>
      </c>
      <c r="H148" s="31"/>
      <c r="I148" s="62">
        <f>F148*H148</f>
        <v>0</v>
      </c>
      <c r="J148" s="13" t="s">
        <v>189</v>
      </c>
      <c r="L148" s="2"/>
    </row>
    <row r="149" spans="1:12" ht="18.75" x14ac:dyDescent="0.25">
      <c r="A149" s="47"/>
      <c r="B149" s="22"/>
      <c r="C149" s="22"/>
      <c r="D149" s="30"/>
      <c r="E149" s="49"/>
      <c r="F149" s="50"/>
      <c r="G149" s="31"/>
      <c r="H149" s="31"/>
      <c r="I149" s="13">
        <f>SUM(I146:I148)</f>
        <v>67484</v>
      </c>
      <c r="J149" s="13"/>
      <c r="L149" s="2"/>
    </row>
    <row r="150" spans="1:12" ht="18.75" x14ac:dyDescent="0.3">
      <c r="A150" s="75" t="s">
        <v>79</v>
      </c>
      <c r="B150" s="76"/>
      <c r="C150" s="76"/>
      <c r="D150" s="76"/>
      <c r="E150" s="76"/>
      <c r="F150" s="76"/>
      <c r="G150" s="77"/>
      <c r="H150" s="19"/>
      <c r="I150" s="5"/>
      <c r="J150" s="13"/>
      <c r="L150" s="2"/>
    </row>
    <row r="151" spans="1:12" ht="46.5" customHeight="1" x14ac:dyDescent="0.3">
      <c r="A151" s="34" t="s">
        <v>131</v>
      </c>
      <c r="B151" s="24"/>
      <c r="C151" s="24"/>
      <c r="D151" s="35" t="s">
        <v>130</v>
      </c>
      <c r="E151" s="13">
        <v>260</v>
      </c>
      <c r="F151" s="13">
        <v>260</v>
      </c>
      <c r="G151" s="13" t="s">
        <v>138</v>
      </c>
      <c r="H151" s="13">
        <v>13</v>
      </c>
      <c r="I151" s="13">
        <f>F151*H151*3</f>
        <v>10140</v>
      </c>
      <c r="J151" s="13" t="s">
        <v>148</v>
      </c>
      <c r="L151" s="2"/>
    </row>
    <row r="152" spans="1:12" ht="18.75" x14ac:dyDescent="0.25">
      <c r="A152" s="9" t="s">
        <v>25</v>
      </c>
      <c r="B152" s="5"/>
      <c r="C152" s="4"/>
      <c r="D152" s="4" t="s">
        <v>75</v>
      </c>
      <c r="E152" s="41" t="s">
        <v>139</v>
      </c>
      <c r="F152" s="41" t="s">
        <v>139</v>
      </c>
      <c r="G152" s="14" t="s">
        <v>54</v>
      </c>
      <c r="H152" s="41" t="s">
        <v>139</v>
      </c>
      <c r="I152" s="41" t="s">
        <v>139</v>
      </c>
      <c r="J152" s="13"/>
      <c r="L152" s="2"/>
    </row>
    <row r="153" spans="1:12" ht="47.25" x14ac:dyDescent="0.25">
      <c r="A153" s="9" t="s">
        <v>26</v>
      </c>
      <c r="B153" s="5"/>
      <c r="C153" s="4"/>
      <c r="D153" s="15" t="s">
        <v>28</v>
      </c>
      <c r="E153" s="41" t="s">
        <v>139</v>
      </c>
      <c r="F153" s="41" t="s">
        <v>139</v>
      </c>
      <c r="G153" s="14" t="s">
        <v>54</v>
      </c>
      <c r="H153" s="41" t="s">
        <v>139</v>
      </c>
      <c r="I153" s="41" t="s">
        <v>139</v>
      </c>
      <c r="J153" s="13"/>
      <c r="L153" s="2"/>
    </row>
    <row r="154" spans="1:12" ht="31.5" x14ac:dyDescent="0.25">
      <c r="A154" s="9" t="s">
        <v>27</v>
      </c>
      <c r="B154" s="5"/>
      <c r="C154" s="4"/>
      <c r="D154" s="15" t="s">
        <v>74</v>
      </c>
      <c r="E154" s="41" t="s">
        <v>139</v>
      </c>
      <c r="F154" s="41" t="s">
        <v>139</v>
      </c>
      <c r="G154" s="14" t="s">
        <v>54</v>
      </c>
      <c r="H154" s="41" t="s">
        <v>139</v>
      </c>
      <c r="I154" s="41" t="s">
        <v>139</v>
      </c>
      <c r="J154" s="13"/>
      <c r="L154" s="2"/>
    </row>
    <row r="155" spans="1:12" ht="18.75" x14ac:dyDescent="0.25">
      <c r="A155" s="47"/>
      <c r="B155" s="22"/>
      <c r="C155" s="22"/>
      <c r="D155" s="30"/>
      <c r="E155" s="46"/>
      <c r="F155" s="46"/>
      <c r="G155" s="12"/>
      <c r="H155" s="55"/>
      <c r="I155" s="56">
        <f>SUM(I151:I154)</f>
        <v>10140</v>
      </c>
      <c r="J155" s="13"/>
      <c r="L155" s="2"/>
    </row>
    <row r="156" spans="1:12" ht="18.75" x14ac:dyDescent="0.3">
      <c r="A156" s="75" t="s">
        <v>84</v>
      </c>
      <c r="B156" s="76"/>
      <c r="C156" s="76"/>
      <c r="D156" s="76"/>
      <c r="E156" s="76"/>
      <c r="F156" s="76"/>
      <c r="G156" s="77"/>
      <c r="H156" s="57"/>
      <c r="I156" s="58"/>
      <c r="J156" s="59"/>
      <c r="K156" s="2"/>
      <c r="L156" s="2"/>
    </row>
    <row r="157" spans="1:12" ht="48" x14ac:dyDescent="0.3">
      <c r="A157" s="6" t="s">
        <v>66</v>
      </c>
      <c r="B157" s="6"/>
      <c r="C157" s="4"/>
      <c r="D157" s="15" t="s">
        <v>168</v>
      </c>
      <c r="E157" s="41"/>
      <c r="F157" s="41"/>
      <c r="G157" s="13" t="s">
        <v>112</v>
      </c>
      <c r="H157" s="41"/>
      <c r="I157" s="45"/>
      <c r="J157" s="39"/>
      <c r="L157" s="2"/>
    </row>
    <row r="158" spans="1:12" ht="32.25" x14ac:dyDescent="0.3">
      <c r="A158" s="28"/>
      <c r="B158" s="29"/>
      <c r="C158" s="22"/>
      <c r="D158" s="30" t="s">
        <v>109</v>
      </c>
      <c r="E158" s="41">
        <v>1</v>
      </c>
      <c r="F158" s="41">
        <v>1</v>
      </c>
      <c r="G158" s="13" t="s">
        <v>110</v>
      </c>
      <c r="H158" s="41">
        <v>18600</v>
      </c>
      <c r="I158" s="44">
        <f>F158*H158</f>
        <v>18600</v>
      </c>
      <c r="J158" s="39" t="s">
        <v>117</v>
      </c>
      <c r="L158" s="2"/>
    </row>
    <row r="159" spans="1:12" ht="18.75" x14ac:dyDescent="0.3">
      <c r="A159" s="28"/>
      <c r="B159" s="29"/>
      <c r="C159" s="22"/>
      <c r="D159" s="30"/>
      <c r="E159" s="46"/>
      <c r="F159" s="46"/>
      <c r="G159" s="31"/>
      <c r="H159" s="46"/>
      <c r="I159" s="52">
        <f>SUM(I157:I158)</f>
        <v>18600</v>
      </c>
      <c r="J159" s="51"/>
      <c r="L159" s="2"/>
    </row>
    <row r="160" spans="1:12" ht="18.75" x14ac:dyDescent="0.3">
      <c r="A160" s="75" t="s">
        <v>98</v>
      </c>
      <c r="B160" s="76"/>
      <c r="C160" s="76"/>
      <c r="D160" s="76"/>
      <c r="E160" s="76"/>
      <c r="F160" s="76"/>
      <c r="G160" s="77"/>
      <c r="H160" s="75"/>
      <c r="I160" s="76"/>
      <c r="J160" s="76"/>
      <c r="L160" s="2"/>
    </row>
    <row r="161" spans="1:12" ht="32.25" x14ac:dyDescent="0.3">
      <c r="A161" s="34" t="s">
        <v>147</v>
      </c>
      <c r="B161" s="24"/>
      <c r="C161" s="24"/>
      <c r="D161" s="40" t="s">
        <v>133</v>
      </c>
      <c r="E161" s="13"/>
      <c r="F161" s="13">
        <f>2+2</f>
        <v>4</v>
      </c>
      <c r="G161" s="13" t="s">
        <v>134</v>
      </c>
      <c r="H161" s="13"/>
      <c r="I161" s="63">
        <f t="shared" ref="I161:I164" si="7">F161*H161</f>
        <v>0</v>
      </c>
      <c r="J161" s="13" t="s">
        <v>169</v>
      </c>
      <c r="L161" s="2"/>
    </row>
    <row r="162" spans="1:12" ht="48" x14ac:dyDescent="0.3">
      <c r="A162" s="24"/>
      <c r="B162" s="24"/>
      <c r="C162" s="24"/>
      <c r="D162" s="40" t="s">
        <v>135</v>
      </c>
      <c r="E162" s="41"/>
      <c r="F162" s="41">
        <f>120</f>
        <v>120</v>
      </c>
      <c r="G162" s="13" t="s">
        <v>136</v>
      </c>
      <c r="H162" s="41">
        <f>(78000)/F162</f>
        <v>650</v>
      </c>
      <c r="I162" s="61">
        <f>F162*H162</f>
        <v>78000</v>
      </c>
      <c r="J162" s="13" t="s">
        <v>169</v>
      </c>
      <c r="L162" s="2"/>
    </row>
    <row r="163" spans="1:12" ht="32.25" x14ac:dyDescent="0.3">
      <c r="A163" s="24"/>
      <c r="B163" s="24"/>
      <c r="C163" s="24"/>
      <c r="D163" s="40" t="s">
        <v>180</v>
      </c>
      <c r="E163" s="13"/>
      <c r="F163" s="13">
        <f>610+190</f>
        <v>800</v>
      </c>
      <c r="G163" s="13" t="s">
        <v>137</v>
      </c>
      <c r="H163" s="33">
        <f>(27956+8708)/F163</f>
        <v>45.83</v>
      </c>
      <c r="I163" s="63">
        <f t="shared" si="7"/>
        <v>36664</v>
      </c>
      <c r="J163" s="13" t="s">
        <v>169</v>
      </c>
      <c r="L163" s="2"/>
    </row>
    <row r="164" spans="1:12" ht="32.25" x14ac:dyDescent="0.3">
      <c r="A164" s="24"/>
      <c r="B164" s="24"/>
      <c r="C164" s="24"/>
      <c r="D164" s="40" t="s">
        <v>181</v>
      </c>
      <c r="E164" s="13"/>
      <c r="F164" s="13">
        <f>50+65+30</f>
        <v>145</v>
      </c>
      <c r="G164" s="13" t="s">
        <v>137</v>
      </c>
      <c r="H164" s="33">
        <f>(2292+2979+1375)/F164</f>
        <v>45.834482758620688</v>
      </c>
      <c r="I164" s="63">
        <f t="shared" si="7"/>
        <v>6646</v>
      </c>
      <c r="J164" s="13" t="s">
        <v>169</v>
      </c>
      <c r="L164" s="2"/>
    </row>
    <row r="165" spans="1:12" ht="63.75" x14ac:dyDescent="0.3">
      <c r="A165" s="24"/>
      <c r="B165" s="24"/>
      <c r="C165" s="24"/>
      <c r="D165" s="40" t="s">
        <v>200</v>
      </c>
      <c r="E165" s="41"/>
      <c r="F165" s="41">
        <v>3</v>
      </c>
      <c r="G165" s="38" t="s">
        <v>112</v>
      </c>
      <c r="H165" s="45">
        <f>1787/F165</f>
        <v>595.66666666666663</v>
      </c>
      <c r="I165" s="60">
        <f t="shared" ref="I165:I178" si="8">F165*H165</f>
        <v>1787</v>
      </c>
      <c r="J165" s="13" t="s">
        <v>122</v>
      </c>
      <c r="L165" s="2"/>
    </row>
    <row r="166" spans="1:12" ht="48" x14ac:dyDescent="0.3">
      <c r="A166" s="24"/>
      <c r="B166" s="24"/>
      <c r="C166" s="24"/>
      <c r="D166" s="40" t="s">
        <v>186</v>
      </c>
      <c r="E166" s="41"/>
      <c r="F166" s="41">
        <f>2.5+111</f>
        <v>113.5</v>
      </c>
      <c r="G166" s="38" t="s">
        <v>112</v>
      </c>
      <c r="H166" s="45">
        <f>(1571.2+69860.4)/F166</f>
        <v>629.35330396475763</v>
      </c>
      <c r="I166" s="60">
        <f t="shared" si="8"/>
        <v>71431.599999999991</v>
      </c>
      <c r="J166" s="13" t="s">
        <v>122</v>
      </c>
      <c r="L166" s="2"/>
    </row>
    <row r="167" spans="1:12" ht="48" x14ac:dyDescent="0.3">
      <c r="A167" s="24"/>
      <c r="B167" s="24"/>
      <c r="C167" s="24"/>
      <c r="D167" s="40" t="s">
        <v>199</v>
      </c>
      <c r="E167" s="41"/>
      <c r="F167" s="41">
        <v>3.9</v>
      </c>
      <c r="G167" s="38" t="s">
        <v>112</v>
      </c>
      <c r="H167" s="45">
        <f>2307.6/F167</f>
        <v>591.69230769230774</v>
      </c>
      <c r="I167" s="61">
        <f t="shared" si="8"/>
        <v>2307.6</v>
      </c>
      <c r="J167" s="13" t="s">
        <v>122</v>
      </c>
      <c r="L167" s="2"/>
    </row>
    <row r="168" spans="1:12" ht="18.75" x14ac:dyDescent="0.3">
      <c r="A168" s="24"/>
      <c r="B168" s="24"/>
      <c r="C168" s="24"/>
      <c r="D168" s="40" t="s">
        <v>198</v>
      </c>
      <c r="E168" s="41"/>
      <c r="F168" s="41">
        <v>2</v>
      </c>
      <c r="G168" s="38" t="s">
        <v>112</v>
      </c>
      <c r="H168" s="45">
        <f>4171.8/F168</f>
        <v>2085.9</v>
      </c>
      <c r="I168" s="61">
        <f t="shared" ref="I168:I177" si="9">F168*H168</f>
        <v>4171.8</v>
      </c>
      <c r="J168" s="13" t="s">
        <v>117</v>
      </c>
      <c r="L168" s="2"/>
    </row>
    <row r="169" spans="1:12" ht="39" customHeight="1" x14ac:dyDescent="0.3">
      <c r="A169" s="24"/>
      <c r="B169" s="24"/>
      <c r="C169" s="24"/>
      <c r="D169" s="40" t="s">
        <v>201</v>
      </c>
      <c r="E169" s="41"/>
      <c r="F169" s="41">
        <f>2</f>
        <v>2</v>
      </c>
      <c r="G169" s="38" t="s">
        <v>146</v>
      </c>
      <c r="H169" s="45">
        <f>1478.2/F169</f>
        <v>739.1</v>
      </c>
      <c r="I169" s="61">
        <f t="shared" si="9"/>
        <v>1478.2</v>
      </c>
      <c r="J169" s="13" t="s">
        <v>122</v>
      </c>
      <c r="L169" s="2"/>
    </row>
    <row r="170" spans="1:12" ht="32.25" x14ac:dyDescent="0.3">
      <c r="A170" s="24"/>
      <c r="B170" s="24"/>
      <c r="C170" s="24"/>
      <c r="D170" s="40" t="s">
        <v>202</v>
      </c>
      <c r="E170" s="41"/>
      <c r="F170" s="41">
        <f>1.4</f>
        <v>1.4</v>
      </c>
      <c r="G170" s="38" t="s">
        <v>112</v>
      </c>
      <c r="H170" s="45">
        <f>6767.8/F170</f>
        <v>4834.1428571428578</v>
      </c>
      <c r="I170" s="61">
        <f t="shared" si="9"/>
        <v>6767.8</v>
      </c>
      <c r="J170" s="13" t="s">
        <v>122</v>
      </c>
      <c r="L170" s="2"/>
    </row>
    <row r="171" spans="1:12" ht="18.75" x14ac:dyDescent="0.3">
      <c r="A171" s="24"/>
      <c r="B171" s="24"/>
      <c r="C171" s="24"/>
      <c r="D171" s="40" t="s">
        <v>239</v>
      </c>
      <c r="E171" s="41"/>
      <c r="F171" s="41">
        <f>8</f>
        <v>8</v>
      </c>
      <c r="G171" s="38" t="s">
        <v>136</v>
      </c>
      <c r="H171" s="45">
        <f>7274/F171</f>
        <v>909.25</v>
      </c>
      <c r="I171" s="61">
        <f t="shared" si="9"/>
        <v>7274</v>
      </c>
      <c r="J171" s="13" t="s">
        <v>122</v>
      </c>
      <c r="L171" s="2"/>
    </row>
    <row r="172" spans="1:12" ht="52.5" customHeight="1" x14ac:dyDescent="0.3">
      <c r="A172" s="24"/>
      <c r="B172" s="24"/>
      <c r="C172" s="24"/>
      <c r="D172" s="40" t="s">
        <v>240</v>
      </c>
      <c r="E172" s="41"/>
      <c r="F172" s="41">
        <v>50</v>
      </c>
      <c r="G172" s="38" t="s">
        <v>112</v>
      </c>
      <c r="H172" s="45">
        <f>23470.8/F172</f>
        <v>469.416</v>
      </c>
      <c r="I172" s="61">
        <f t="shared" si="9"/>
        <v>23470.799999999999</v>
      </c>
      <c r="J172" s="13" t="s">
        <v>122</v>
      </c>
      <c r="L172" s="2"/>
    </row>
    <row r="173" spans="1:12" ht="52.5" customHeight="1" x14ac:dyDescent="0.3">
      <c r="A173" s="24"/>
      <c r="B173" s="24"/>
      <c r="C173" s="24"/>
      <c r="D173" s="40" t="s">
        <v>242</v>
      </c>
      <c r="E173" s="41"/>
      <c r="F173" s="41">
        <f>1</f>
        <v>1</v>
      </c>
      <c r="G173" s="38" t="s">
        <v>31</v>
      </c>
      <c r="H173" s="45">
        <f>10199.4/F173</f>
        <v>10199.4</v>
      </c>
      <c r="I173" s="61">
        <f t="shared" si="9"/>
        <v>10199.4</v>
      </c>
      <c r="J173" s="13" t="s">
        <v>117</v>
      </c>
      <c r="L173" s="2"/>
    </row>
    <row r="174" spans="1:12" ht="52.5" customHeight="1" x14ac:dyDescent="0.3">
      <c r="A174" s="24"/>
      <c r="B174" s="24"/>
      <c r="C174" s="24"/>
      <c r="D174" s="40" t="s">
        <v>239</v>
      </c>
      <c r="E174" s="41"/>
      <c r="F174" s="41">
        <f>2</f>
        <v>2</v>
      </c>
      <c r="G174" s="38" t="s">
        <v>136</v>
      </c>
      <c r="H174" s="45">
        <f>1819/F174</f>
        <v>909.5</v>
      </c>
      <c r="I174" s="61">
        <f t="shared" si="9"/>
        <v>1819</v>
      </c>
      <c r="J174" s="13" t="s">
        <v>117</v>
      </c>
      <c r="L174" s="2"/>
    </row>
    <row r="175" spans="1:12" ht="52.5" customHeight="1" x14ac:dyDescent="0.3">
      <c r="A175" s="24"/>
      <c r="B175" s="24"/>
      <c r="C175" s="24"/>
      <c r="D175" s="40" t="s">
        <v>243</v>
      </c>
      <c r="E175" s="41"/>
      <c r="F175" s="41">
        <f>1</f>
        <v>1</v>
      </c>
      <c r="G175" s="38" t="s">
        <v>146</v>
      </c>
      <c r="H175" s="45">
        <f>670.6/F175</f>
        <v>670.6</v>
      </c>
      <c r="I175" s="61">
        <f t="shared" si="9"/>
        <v>670.6</v>
      </c>
      <c r="J175" s="13" t="s">
        <v>117</v>
      </c>
      <c r="L175" s="2"/>
    </row>
    <row r="176" spans="1:12" ht="48" x14ac:dyDescent="0.3">
      <c r="A176" s="34" t="s">
        <v>173</v>
      </c>
      <c r="B176" s="14"/>
      <c r="C176" s="14"/>
      <c r="D176" s="40" t="s">
        <v>194</v>
      </c>
      <c r="E176" s="41"/>
      <c r="F176" s="41">
        <f>1</f>
        <v>1</v>
      </c>
      <c r="G176" s="13" t="s">
        <v>31</v>
      </c>
      <c r="H176" s="41">
        <f>32500/F176</f>
        <v>32500</v>
      </c>
      <c r="I176" s="60">
        <f t="shared" si="9"/>
        <v>32500</v>
      </c>
      <c r="J176" s="14" t="s">
        <v>182</v>
      </c>
      <c r="L176" s="2"/>
    </row>
    <row r="177" spans="1:12" ht="57.75" customHeight="1" x14ac:dyDescent="0.3">
      <c r="A177" s="34"/>
      <c r="B177" s="14"/>
      <c r="C177" s="14"/>
      <c r="D177" s="40" t="s">
        <v>226</v>
      </c>
      <c r="E177" s="41"/>
      <c r="F177" s="41">
        <f>190.32</f>
        <v>190.32</v>
      </c>
      <c r="G177" s="13" t="s">
        <v>112</v>
      </c>
      <c r="H177" s="45">
        <f>39516.6/F177</f>
        <v>207.63240857503152</v>
      </c>
      <c r="I177" s="60">
        <f t="shared" si="9"/>
        <v>39516.6</v>
      </c>
      <c r="J177" s="14" t="s">
        <v>122</v>
      </c>
      <c r="L177" s="2"/>
    </row>
    <row r="178" spans="1:12" ht="18.75" x14ac:dyDescent="0.3">
      <c r="A178" s="34" t="s">
        <v>154</v>
      </c>
      <c r="B178" s="14"/>
      <c r="C178" s="14"/>
      <c r="D178" s="43" t="s">
        <v>174</v>
      </c>
      <c r="E178" s="14"/>
      <c r="F178" s="14">
        <f>1+1+1+1+1+1+1+1+1+1+1+1</f>
        <v>12</v>
      </c>
      <c r="G178" s="38" t="s">
        <v>143</v>
      </c>
      <c r="H178" s="14">
        <f>(5500+5500+5500+5500+5500+5500+5500+5500+5500+5500+5500+5500)/F178</f>
        <v>5500</v>
      </c>
      <c r="I178" s="64">
        <f t="shared" si="8"/>
        <v>66000</v>
      </c>
      <c r="J178" s="14" t="s">
        <v>115</v>
      </c>
      <c r="L178" s="2"/>
    </row>
    <row r="179" spans="1:12" ht="47.25" x14ac:dyDescent="0.3">
      <c r="A179" s="34"/>
      <c r="B179" s="14"/>
      <c r="C179" s="14"/>
      <c r="D179" s="43" t="s">
        <v>237</v>
      </c>
      <c r="E179" s="14"/>
      <c r="F179" s="14">
        <v>1</v>
      </c>
      <c r="G179" s="38" t="s">
        <v>143</v>
      </c>
      <c r="H179" s="14">
        <f>21327/F179</f>
        <v>21327</v>
      </c>
      <c r="I179" s="64">
        <f>F179*H179</f>
        <v>21327</v>
      </c>
      <c r="J179" s="13" t="s">
        <v>122</v>
      </c>
      <c r="L179" s="2"/>
    </row>
    <row r="180" spans="1:12" ht="18.75" x14ac:dyDescent="0.3">
      <c r="A180" s="34"/>
      <c r="B180" s="14"/>
      <c r="C180" s="14"/>
      <c r="D180" s="43" t="s">
        <v>238</v>
      </c>
      <c r="E180" s="14"/>
      <c r="F180" s="14">
        <v>1</v>
      </c>
      <c r="G180" s="38" t="s">
        <v>143</v>
      </c>
      <c r="H180" s="14">
        <v>91279</v>
      </c>
      <c r="I180" s="64">
        <f>F180*H180</f>
        <v>91279</v>
      </c>
      <c r="J180" s="13" t="s">
        <v>122</v>
      </c>
      <c r="L180" s="2"/>
    </row>
    <row r="181" spans="1:12" ht="18.75" x14ac:dyDescent="0.3">
      <c r="A181" s="34"/>
      <c r="B181" s="14"/>
      <c r="C181" s="14"/>
      <c r="D181" s="43"/>
      <c r="E181" s="14"/>
      <c r="F181" s="14"/>
      <c r="G181" s="38"/>
      <c r="H181" s="14"/>
      <c r="I181" s="68">
        <f>SUM(I161:I178)</f>
        <v>390704.39999999991</v>
      </c>
      <c r="J181" s="14"/>
      <c r="L181" s="2"/>
    </row>
    <row r="182" spans="1:12" ht="18.75" x14ac:dyDescent="0.3">
      <c r="A182" s="67" t="s">
        <v>191</v>
      </c>
      <c r="B182" s="14"/>
      <c r="C182" s="14"/>
      <c r="D182" s="43"/>
      <c r="E182" s="14"/>
      <c r="F182" s="14"/>
      <c r="G182" s="38"/>
      <c r="H182" s="14"/>
      <c r="I182" s="66">
        <f>I5+I20+I21+I27+I38+I39+I40+I41+I42+I43+I44+I45+I46+I47+I48+I49+I50+I51+I52+I54+I55+I56+I58+I59+I60+I62+I63+I64+I65+I68+I70+I71+I72+I79+I80+I81+I84+I88+I89+I92+I93+I94+I97+I103+I104+I105+I106+I108+I113+I116+I121+I134+I135+I136+I137+I138+I139+I148+I161+I162+I163+I164+I165+I166+I167+I168+I169+I170+I171+I172+I173+I174+I175+I179+I180+I177+I178+I176</f>
        <v>4679857.4000000004</v>
      </c>
      <c r="J182" s="14"/>
      <c r="L182" s="2"/>
    </row>
    <row r="183" spans="1:12" ht="15.75" x14ac:dyDescent="0.25">
      <c r="A183" s="53" t="s">
        <v>179</v>
      </c>
      <c r="B183" s="25"/>
      <c r="C183" s="25"/>
      <c r="D183" s="43"/>
      <c r="E183" s="13"/>
      <c r="F183" s="13"/>
      <c r="G183" s="38"/>
      <c r="H183" s="13"/>
      <c r="I183" s="54">
        <f>I15+I35+I75+I98+I110+I118+I129+I144+I149+I155+I159+I181</f>
        <v>5291063.5199999996</v>
      </c>
      <c r="J183" s="14"/>
      <c r="K183" s="2"/>
      <c r="L183" s="2"/>
    </row>
    <row r="184" spans="1:12" ht="99.75" customHeight="1" x14ac:dyDescent="0.25">
      <c r="A184" s="72" t="s">
        <v>105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2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2"/>
      <c r="F187" s="65"/>
      <c r="G187" s="2"/>
      <c r="H187" s="2"/>
      <c r="I187" s="2"/>
      <c r="J187" s="65"/>
      <c r="K187" s="2"/>
      <c r="L187" s="2"/>
    </row>
    <row r="188" spans="1:12" ht="15.75" x14ac:dyDescent="0.25">
      <c r="A188" s="2"/>
      <c r="B188" s="2"/>
      <c r="C188" s="2"/>
      <c r="D188" s="16"/>
      <c r="E188" s="2"/>
      <c r="F188" s="2"/>
      <c r="G188" s="2"/>
      <c r="H188" s="2"/>
      <c r="I188" s="65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2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</sheetData>
  <mergeCells count="16">
    <mergeCell ref="A184:J184"/>
    <mergeCell ref="A2:J2"/>
    <mergeCell ref="A160:G160"/>
    <mergeCell ref="H160:J160"/>
    <mergeCell ref="I1:J1"/>
    <mergeCell ref="A111:G111"/>
    <mergeCell ref="A130:G130"/>
    <mergeCell ref="A156:G156"/>
    <mergeCell ref="A36:G36"/>
    <mergeCell ref="A16:G16"/>
    <mergeCell ref="A4:G4"/>
    <mergeCell ref="A145:G145"/>
    <mergeCell ref="A76:G76"/>
    <mergeCell ref="A99:G99"/>
    <mergeCell ref="A119:G119"/>
    <mergeCell ref="A150:G150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2025-01-29T12:15:43Z</cp:lastPrinted>
  <dcterms:created xsi:type="dcterms:W3CDTF">2017-05-29T12:14:13Z</dcterms:created>
  <dcterms:modified xsi:type="dcterms:W3CDTF">2025-03-14T04:46:09Z</dcterms:modified>
</cp:coreProperties>
</file>