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45" i="1" l="1"/>
  <c r="H145" i="1" s="1"/>
  <c r="F140" i="1"/>
  <c r="H140" i="1" s="1"/>
  <c r="H23" i="1"/>
  <c r="I23" i="1" s="1"/>
  <c r="F109" i="1" l="1"/>
  <c r="F123" i="1"/>
  <c r="H123" i="1" s="1"/>
  <c r="F170" i="1"/>
  <c r="H170" i="1" s="1"/>
  <c r="F153" i="1"/>
  <c r="H153" i="1" s="1"/>
  <c r="F149" i="1"/>
  <c r="H149" i="1" s="1"/>
  <c r="F148" i="1"/>
  <c r="H148" i="1" s="1"/>
  <c r="F130" i="1"/>
  <c r="H130" i="1" s="1"/>
  <c r="I153" i="1" l="1"/>
  <c r="H109" i="1"/>
  <c r="I109" i="1" s="1"/>
  <c r="I123" i="1"/>
  <c r="H63" i="1"/>
  <c r="I63" i="1" s="1"/>
  <c r="F43" i="1" l="1"/>
  <c r="H43" i="1" s="1"/>
  <c r="F42" i="1"/>
  <c r="H42" i="1" s="1"/>
  <c r="F44" i="1"/>
  <c r="F62" i="1"/>
  <c r="H62" i="1" s="1"/>
  <c r="F61" i="1"/>
  <c r="H61" i="1" s="1"/>
  <c r="I140" i="1"/>
  <c r="F147" i="1"/>
  <c r="H147" i="1" s="1"/>
  <c r="F146" i="1"/>
  <c r="H146" i="1" s="1"/>
  <c r="F132" i="1"/>
  <c r="H132" i="1" s="1"/>
  <c r="F91" i="1"/>
  <c r="H91" i="1" s="1"/>
  <c r="I146" i="1" l="1"/>
  <c r="I61" i="1"/>
  <c r="H44" i="1"/>
  <c r="I44" i="1" s="1"/>
  <c r="I62" i="1"/>
  <c r="F75" i="1"/>
  <c r="H75" i="1" s="1"/>
  <c r="F79" i="1"/>
  <c r="F78" i="1"/>
  <c r="H78" i="1" s="1"/>
  <c r="F77" i="1"/>
  <c r="F181" i="1"/>
  <c r="H181" i="1" s="1"/>
  <c r="H143" i="1"/>
  <c r="I143" i="1" s="1"/>
  <c r="F142" i="1"/>
  <c r="H142" i="1" s="1"/>
  <c r="I142" i="1" s="1"/>
  <c r="F144" i="1"/>
  <c r="H144" i="1" s="1"/>
  <c r="F50" i="1"/>
  <c r="H50" i="1" s="1"/>
  <c r="F49" i="1"/>
  <c r="H49" i="1" s="1"/>
  <c r="F60" i="1"/>
  <c r="H60" i="1" s="1"/>
  <c r="F52" i="1"/>
  <c r="H52" i="1" s="1"/>
  <c r="F46" i="1"/>
  <c r="H46" i="1" s="1"/>
  <c r="F41" i="1"/>
  <c r="H41" i="1" s="1"/>
  <c r="F59" i="1"/>
  <c r="F57" i="1"/>
  <c r="H57" i="1" s="1"/>
  <c r="H93" i="1"/>
  <c r="I93" i="1" s="1"/>
  <c r="H59" i="1" l="1"/>
  <c r="I59" i="1" s="1"/>
  <c r="H77" i="1"/>
  <c r="I77" i="1" s="1"/>
  <c r="I60" i="1"/>
  <c r="I75" i="1"/>
  <c r="H79" i="1"/>
  <c r="I79" i="1" s="1"/>
  <c r="I78" i="1"/>
  <c r="F92" i="1"/>
  <c r="H92" i="1" s="1"/>
  <c r="H74" i="1"/>
  <c r="F74" i="1"/>
  <c r="F58" i="1"/>
  <c r="H58" i="1" s="1"/>
  <c r="F73" i="1"/>
  <c r="H72" i="1"/>
  <c r="I72" i="1" s="1"/>
  <c r="H70" i="1"/>
  <c r="I70" i="1" s="1"/>
  <c r="F69" i="1"/>
  <c r="H69" i="1" s="1"/>
  <c r="H68" i="1"/>
  <c r="I68" i="1" s="1"/>
  <c r="H81" i="1"/>
  <c r="I81" i="1" s="1"/>
  <c r="H80" i="1"/>
  <c r="I80" i="1" s="1"/>
  <c r="F84" i="1"/>
  <c r="H67" i="1"/>
  <c r="H83" i="1"/>
  <c r="F82" i="1"/>
  <c r="H82" i="1" s="1"/>
  <c r="I57" i="1"/>
  <c r="F180" i="1"/>
  <c r="H180" i="1" s="1"/>
  <c r="F179" i="1"/>
  <c r="H179" i="1" s="1"/>
  <c r="H56" i="1"/>
  <c r="I56" i="1" s="1"/>
  <c r="F54" i="1"/>
  <c r="H53" i="1"/>
  <c r="I53" i="1" s="1"/>
  <c r="F65" i="1"/>
  <c r="H65" i="1" s="1"/>
  <c r="H51" i="1"/>
  <c r="I52" i="1"/>
  <c r="I51" i="1"/>
  <c r="I50" i="1"/>
  <c r="I49" i="1"/>
  <c r="H48" i="1"/>
  <c r="H47" i="1"/>
  <c r="I47" i="1" s="1"/>
  <c r="I48" i="1"/>
  <c r="I46" i="1"/>
  <c r="H45" i="1"/>
  <c r="I45" i="1" s="1"/>
  <c r="I43" i="1"/>
  <c r="I42" i="1"/>
  <c r="I41" i="1"/>
  <c r="F40" i="1"/>
  <c r="H40" i="1" s="1"/>
  <c r="F87" i="1"/>
  <c r="H55" i="1"/>
  <c r="I55" i="1" s="1"/>
  <c r="H87" i="1" l="1"/>
  <c r="I87" i="1" s="1"/>
  <c r="H54" i="1"/>
  <c r="I54" i="1" s="1"/>
  <c r="H84" i="1"/>
  <c r="I84" i="1" s="1"/>
  <c r="H73" i="1"/>
  <c r="I73" i="1" s="1"/>
  <c r="I74" i="1"/>
  <c r="I40" i="1"/>
  <c r="I179" i="1"/>
  <c r="I82" i="1"/>
  <c r="I69" i="1"/>
  <c r="I58" i="1"/>
  <c r="I92" i="1"/>
  <c r="I180" i="1"/>
  <c r="F138" i="1"/>
  <c r="H138" i="1" s="1"/>
  <c r="F118" i="1"/>
  <c r="H118" i="1" s="1"/>
  <c r="F111" i="1"/>
  <c r="H111" i="1" s="1"/>
  <c r="F119" i="1"/>
  <c r="H119" i="1" s="1"/>
  <c r="F139" i="1"/>
  <c r="H139" i="1" s="1"/>
  <c r="I138" i="1" l="1"/>
  <c r="I111" i="1"/>
  <c r="F127" i="1"/>
  <c r="H127" i="1" s="1"/>
  <c r="I118" i="1"/>
  <c r="F7" i="1" l="1"/>
  <c r="H7" i="1" s="1"/>
  <c r="F175" i="1"/>
  <c r="H175" i="1" s="1"/>
  <c r="F115" i="1" l="1"/>
  <c r="H115" i="1" s="1"/>
  <c r="H177" i="1" l="1"/>
  <c r="H25" i="1"/>
  <c r="F178" i="1"/>
  <c r="H178" i="1" s="1"/>
  <c r="F30" i="1"/>
  <c r="H30" i="1" s="1"/>
  <c r="I30" i="1" l="1"/>
  <c r="F9" i="1"/>
  <c r="H9" i="1" s="1"/>
  <c r="I7" i="1"/>
  <c r="F6" i="1"/>
  <c r="H174" i="1"/>
  <c r="H173" i="1"/>
  <c r="F8" i="1"/>
  <c r="H8" i="1" s="1"/>
  <c r="F168" i="1"/>
  <c r="H168" i="1" s="1"/>
  <c r="F169" i="1"/>
  <c r="H169" i="1" s="1"/>
  <c r="H113" i="1"/>
  <c r="F110" i="1"/>
  <c r="H110" i="1" s="1"/>
  <c r="H6" i="1" l="1"/>
  <c r="I6" i="1" s="1"/>
  <c r="I9" i="1"/>
  <c r="I132" i="1"/>
  <c r="I127" i="1"/>
  <c r="I91" i="1"/>
  <c r="I178" i="1" l="1"/>
  <c r="I145" i="1" l="1"/>
  <c r="F28" i="1"/>
  <c r="I65" i="1"/>
  <c r="I115" i="1"/>
  <c r="I177" i="1" l="1"/>
  <c r="I175" i="1" l="1"/>
  <c r="I174" i="1"/>
  <c r="F94" i="1"/>
  <c r="H94" i="1" s="1"/>
  <c r="F97" i="1"/>
  <c r="H97" i="1" s="1"/>
  <c r="F96" i="1"/>
  <c r="H96" i="1" s="1"/>
  <c r="F95" i="1"/>
  <c r="H95" i="1" s="1"/>
  <c r="I28" i="1" l="1"/>
  <c r="I8" i="1"/>
  <c r="I17" i="1" s="1"/>
  <c r="I83" i="1"/>
  <c r="I67" i="1"/>
  <c r="I168" i="1"/>
  <c r="I173" i="1" l="1"/>
  <c r="I110" i="1"/>
  <c r="I119" i="1"/>
  <c r="I170" i="1"/>
  <c r="I169" i="1"/>
  <c r="I139" i="1" l="1"/>
  <c r="I88" i="1"/>
  <c r="I25" i="1"/>
  <c r="I128" i="1"/>
  <c r="I113" i="1"/>
  <c r="I121" i="1" s="1"/>
  <c r="I130" i="1"/>
  <c r="I134" i="1" s="1"/>
  <c r="I94" i="1"/>
  <c r="I37" i="1" l="1"/>
  <c r="I97" i="1"/>
  <c r="I96" i="1"/>
  <c r="I95" i="1"/>
  <c r="I149" i="1"/>
  <c r="I144" i="1"/>
  <c r="I148" i="1"/>
  <c r="I147" i="1"/>
  <c r="I107" i="1" l="1"/>
  <c r="I150" i="1"/>
  <c r="I157" i="1"/>
  <c r="I161" i="1" s="1"/>
  <c r="I154" i="1"/>
  <c r="I155" i="1" s="1"/>
  <c r="I181" i="1"/>
  <c r="I183" i="1" l="1"/>
  <c r="I182" i="1"/>
  <c r="I184" i="1" s="1"/>
</calcChain>
</file>

<file path=xl/sharedStrings.xml><?xml version="1.0" encoding="utf-8"?>
<sst xmlns="http://schemas.openxmlformats.org/spreadsheetml/2006/main" count="601" uniqueCount="253">
  <si>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</si>
  <si>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</si>
  <si>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</si>
  <si>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</si>
  <si>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</si>
  <si>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</si>
  <si>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</si>
  <si>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</si>
  <si>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</si>
  <si>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</si>
  <si>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</si>
  <si>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</si>
  <si>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</si>
  <si>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</si>
  <si>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</si>
  <si>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</si>
  <si>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</si>
  <si>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</si>
  <si>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</si>
  <si>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</si>
  <si>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</si>
  <si>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</si>
  <si>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</si>
  <si>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</si>
  <si>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</si>
  <si>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</si>
  <si>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</si>
  <si>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</si>
  <si>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</si>
  <si>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</si>
  <si>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</si>
  <si>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</si>
  <si>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</si>
  <si>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</si>
  <si>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</si>
  <si>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</si>
  <si>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</si>
  <si>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</si>
  <si>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</si>
  <si>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</si>
  <si>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</si>
  <si>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</si>
  <si>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</si>
  <si>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</si>
  <si>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</si>
  <si>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</si>
  <si>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</si>
  <si>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</si>
  <si>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</si>
  <si>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</si>
  <si>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</si>
  <si>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</si>
  <si>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</si>
  <si>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</si>
  <si>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</si>
  <si>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</si>
  <si>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</si>
  <si>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</si>
  <si>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</si>
  <si>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</si>
  <si>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</si>
  <si>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</si>
  <si>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</si>
  <si>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</si>
  <si>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</si>
  <si>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</si>
  <si>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</si>
  <si>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</si>
  <si>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</si>
  <si>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</si>
  <si>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</si>
  <si>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</si>
  <si>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</si>
  <si>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</si>
  <si>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</si>
  <si>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</si>
  <si>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</si>
  <si>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</si>
  <si>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</si>
  <si>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</si>
  <si>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</si>
  <si>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</si>
  <si>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</si>
  <si>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</si>
  <si>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</si>
  <si>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</si>
  <si>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</si>
  <si>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</si>
  <si>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</si>
  <si>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</si>
  <si>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</si>
  <si>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</si>
  <si>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</si>
  <si>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</si>
  <si>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</si>
  <si>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</si>
  <si>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</si>
  <si>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</si>
  <si>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</si>
  <si>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</si>
  <si>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</si>
  <si>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</si>
  <si>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</si>
  <si>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</si>
  <si>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</si>
  <si>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</si>
  <si>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</si>
  <si>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</si>
  <si>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</si>
  <si>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</si>
  <si>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</si>
  <si>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</si>
  <si>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</si>
  <si>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</si>
  <si>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</si>
  <si>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</si>
  <si>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</si>
  <si>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</si>
  <si>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</si>
  <si>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</si>
  <si>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</si>
  <si>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</si>
  <si>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</si>
  <si>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</si>
  <si>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</si>
  <si>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</si>
  <si>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</si>
  <si>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</si>
  <si>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</si>
  <si>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</si>
  <si>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</si>
  <si>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</si>
  <si>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</si>
  <si>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</si>
  <si>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</si>
  <si>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</si>
  <si>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</si>
  <si>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</si>
  <si>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</si>
  <si>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</si>
  <si>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</si>
  <si>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</si>
  <si>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</si>
  <si>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</si>
  <si>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</si>
  <si>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проверка герметичности,промывка и гидравлические испытания системы отопления до 200мм</t>
  </si>
  <si>
    <t>фильтр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</si>
  <si>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</si>
  <si>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</si>
  <si>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</si>
  <si>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</si>
  <si>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прокладка внутренних трубпроводов водоснабжения и отопления из полипропиленовых труб:диам. 40мм</t>
  </si>
  <si>
    <t>снятие дверных полотен</t>
  </si>
  <si>
    <t>м2 дверных полотен</t>
  </si>
  <si>
    <t>1 коробка</t>
  </si>
  <si>
    <t>простая масляная окраска ранее окрашенных бордюров без подготовки с расчисткой старой краски до 10% с земли и лесов</t>
  </si>
  <si>
    <t>м2 окрашиваемой поверхности</t>
  </si>
  <si>
    <t>провод групповой осветительных сетей в защитной оболочке</t>
  </si>
  <si>
    <t>м</t>
  </si>
  <si>
    <t>благоустройство</t>
  </si>
  <si>
    <t>1 квартал</t>
  </si>
  <si>
    <t>1,3,4квартал</t>
  </si>
  <si>
    <t>окраска масляными составами ранее окрашенных больших поверхностей (кроме крыш) за 2 раза лифт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</si>
  <si>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</si>
  <si>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</si>
  <si>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</si>
  <si>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установка хомутов диаметром трубопроводов до 100мм </t>
  </si>
  <si>
    <t>водоотлив из подвала электрическими насосами</t>
  </si>
  <si>
    <t>ремонт ступеней бетонных</t>
  </si>
  <si>
    <t>очистка внутренней поверхности:теплообменного аппарата</t>
  </si>
  <si>
    <t>гидравлическое испытание аппарата или сосуда под давлением</t>
  </si>
  <si>
    <t>смена кранов шаровых диам.15, 25мм</t>
  </si>
  <si>
    <t>монтаж кровельного покрытия из профилированного листа</t>
  </si>
  <si>
    <t>очистка и промывка теплообменника с разборкой и сборкой на ИТП</t>
  </si>
  <si>
    <t>смена сгонов у трубопроводов диам до 32мм</t>
  </si>
  <si>
    <t>заделка подвальных окон фанерой</t>
  </si>
  <si>
    <t>смена оконных приборов ручки</t>
  </si>
  <si>
    <t>проверка на прогрев отопительных приборов с регулировкой</t>
  </si>
  <si>
    <t>Текущий ремонт</t>
  </si>
  <si>
    <t>демонтаж светильников</t>
  </si>
  <si>
    <t>монтаж светильников светодиодных</t>
  </si>
  <si>
    <t>врезка в действующие внутренние сети трубопроводов отопления и водоснабжения диам. 32мм</t>
  </si>
  <si>
    <t>смена внутренних трубопроводов из стальных труб диам. 25мм</t>
  </si>
  <si>
    <t>очистка кровли от снега</t>
  </si>
  <si>
    <t>смена кранов шаровых диам.15, 25,32мм</t>
  </si>
  <si>
    <t>рытье ям</t>
  </si>
  <si>
    <t>заполнение бетоном с установкой урн</t>
  </si>
  <si>
    <t>смена существующих рулонных кровель на покрытия из наплавляемого материала в один слой</t>
  </si>
  <si>
    <t>устройство примыканий рулонных и мастичных кровель к стенам и парапетам без фартуков</t>
  </si>
  <si>
    <t xml:space="preserve">смена обделок из листовой стали 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</si>
  <si>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 корпус 3   на 2024 г.
</t>
  </si>
  <si>
    <t>простая масляная окраска ранее окрашенных фасадов без подготовки</t>
  </si>
  <si>
    <t>ремонт мест просадок бетоном</t>
  </si>
  <si>
    <t>устройство подстилающих слое песчаных</t>
  </si>
  <si>
    <t>смена светильников с лампами накаливания на светодиодные</t>
  </si>
  <si>
    <t>урна металлическая опрокидывающаяся</t>
  </si>
  <si>
    <t>установка насосов</t>
  </si>
  <si>
    <t>врезка в действующие внутренние сети трубопроводов отопления и водоснабжения диам. 25мм</t>
  </si>
  <si>
    <t>3,4 квартал</t>
  </si>
  <si>
    <t>обеспечение закрытия на замок(замки врезные)</t>
  </si>
  <si>
    <t>ремонт и восстановление уплотнения стыков прокладками ПРП в 1 ряд насухо</t>
  </si>
  <si>
    <t>смена замков в почтовых ящиках</t>
  </si>
  <si>
    <t>установка раскладок из дерева: хвойных пород по дереву (без окраски)</t>
  </si>
  <si>
    <t>смена дверных приборов пружины</t>
  </si>
  <si>
    <t>смена дверных приборов ручки-скобы</t>
  </si>
  <si>
    <t>смена дверных приборов шпингалеты</t>
  </si>
  <si>
    <t>ремонт дверных коробок широких в каменных стенах выправка, укрепление и пристрожка четвертей</t>
  </si>
  <si>
    <t>брусков</t>
  </si>
  <si>
    <t>укрепление оконных и дверных коробок без конопатки</t>
  </si>
  <si>
    <t>ремонт дверных полотен со сменой брусков обвязки горизонтальных на 2 сопряжения нижних</t>
  </si>
  <si>
    <t>установка рейки-добора</t>
  </si>
  <si>
    <t>смена стекол толщиной 4-6 мм в деревянных переплетах на штапиках по замазке при площади стекол до 0,5 м2 (армированное)</t>
  </si>
  <si>
    <t>смена стекол толщиной 4-6 мм в деревянных переплетах на штапиках по замазке при площади стекол до 1,0 м2</t>
  </si>
  <si>
    <t>демонтаж дверных коробок в каменных стенах с отбивкой штукатурки в откосах</t>
  </si>
  <si>
    <t>установка и крепление наличников</t>
  </si>
  <si>
    <t>смена филенок в дверных полотнах: фанерных</t>
  </si>
  <si>
    <t>смена дверных приборов петли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</si>
  <si>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</si>
  <si>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оказание экспертно-консультационной услуги по проверке правильности составления сметной документации</t>
  </si>
  <si>
    <t>оказание услуги строительного контроля</t>
  </si>
  <si>
    <t>окраска масляными составами ранее окрашенных больших металлических поверхностей (кроме крыш) за два раза(дверь в мусорокамеру -</t>
  </si>
  <si>
    <t>разборка покрытий полов из керамических плиток</t>
  </si>
  <si>
    <t>устройство покрытий из плит керамогранитных размером 60х60 см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</si>
  <si>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 по кирпичу и бетону</t>
  </si>
  <si>
    <t>затирка швов между плитками ранее облицованных поверхностей с применением сухой смеси</t>
  </si>
  <si>
    <t>окраска водно-дисперсионными акриловыми составами улучшенная по штукатурке потолков</t>
  </si>
  <si>
    <t>очистка вручную поверхности стен от перхлорвиниловых и масляных красок с земли и лесов</t>
  </si>
  <si>
    <t>окраска водно-дисперсионными акриловыми составами улучшенная по штукатурке стен</t>
  </si>
  <si>
    <t>улучшенная масляная окраска ранее окрашенных стен за два раза с расчисткой старой краски до 10%(сапожок )</t>
  </si>
  <si>
    <t>ремонт металлических лестничных решеток</t>
  </si>
  <si>
    <t xml:space="preserve"> укрепление стоек металлических решеток ограждений</t>
  </si>
  <si>
    <t>стойки</t>
  </si>
  <si>
    <t>очистка вручную поверхности потолков от перхлорвиниловых и масляных красок с земли и лесов</t>
  </si>
  <si>
    <t>улучшенная масляная окраска ранее окрашенных дверей за два раза</t>
  </si>
  <si>
    <t>простая масляная окраска ранее окрашенных стен с подготовкой и расчисткой старой краски до 10%(торцов лестничных маршей</t>
  </si>
  <si>
    <t xml:space="preserve">окраска масляными составами ранее окрашенных поверхностей труб стальных за 2 раза(трубы отопления диам.труб 15,25 мм </t>
  </si>
  <si>
    <t xml:space="preserve">окраска масляными составами ранее окрашенных поверхностей радиаторов  и ребристых труб отопления за 2 раза </t>
  </si>
  <si>
    <t>установка дверного доводчика</t>
  </si>
  <si>
    <t>ремонт дверных полотен со сменой брусков обвязки вертикальных с числом сопряжений 2</t>
  </si>
  <si>
    <t>короба пластмассовые шириной до 40 мм</t>
  </si>
  <si>
    <t>короба пластмассовые шириной до 63 мм</t>
  </si>
  <si>
    <t>погрузка при автомобильных перевозках мусора строительного с погрузкой вручную с вывозом мусора контейнером с утилизацией 5м3 (3т)</t>
  </si>
  <si>
    <t>т</t>
  </si>
  <si>
    <t>окраска металлических деталей мусоропровода в 9-этажных зданиях с пятью клапанами</t>
  </si>
  <si>
    <t>при окраске на каждый этаж сверх или менее девяти добавлять или исключать к расценке 08-06-002-01</t>
  </si>
  <si>
    <t>при окраске на один дополнительный клапан добавлять к расценке 08-06-002-01</t>
  </si>
  <si>
    <t>мусоропровод</t>
  </si>
  <si>
    <t xml:space="preserve">окраска масляными составами ранее окрашенных металлических решеток и оград без рельефа за 2 раза( ограждения л/маршей </t>
  </si>
  <si>
    <t>установка дверных коробок:в каменных стенах</t>
  </si>
  <si>
    <t>установка дверных полотен</t>
  </si>
  <si>
    <t>смена дверных приборов:петли</t>
  </si>
  <si>
    <t>утепление дверей пенополистиролом</t>
  </si>
  <si>
    <t>очистка подвала от сухого ила и грязи при наличии грячих труб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</si>
</sst>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1"/>
  <sheetViews>
    <sheetView tabSelected="1" topLeftCell="D187" zoomScale="86" zoomScaleNormal="86" workbookViewId="0">
      <selection activeCell="F187" sqref="F187:I19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1.28515625" style="1" bestFit="1" customWidth="1"/>
    <col min="13" max="16384" width="8.85546875" style="1"/>
  </cols>
  <sheetData>
    <row r="1" spans="1:12" ht="51.75" customHeight="1" x14ac:dyDescent="0.25">
      <c r="I1" s="78" t="s">
        <v>96</v>
      </c>
      <c r="J1" s="78"/>
    </row>
    <row r="2" spans="1:12" ht="70.5" customHeight="1" x14ac:dyDescent="0.25">
      <c r="A2" s="73" t="s">
        <v>190</v>
      </c>
      <c r="B2" s="74"/>
      <c r="C2" s="74"/>
      <c r="D2" s="74"/>
      <c r="E2" s="74"/>
      <c r="F2" s="74"/>
      <c r="G2" s="74"/>
      <c r="H2" s="74"/>
      <c r="I2" s="74"/>
      <c r="J2" s="74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9" t="s">
        <v>87</v>
      </c>
      <c r="B4" s="80"/>
      <c r="C4" s="80"/>
      <c r="D4" s="80"/>
      <c r="E4" s="80"/>
      <c r="F4" s="80"/>
      <c r="G4" s="81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124</v>
      </c>
      <c r="E5" s="41" t="s">
        <v>141</v>
      </c>
      <c r="F5" s="41" t="s">
        <v>141</v>
      </c>
      <c r="G5" s="13" t="s">
        <v>115</v>
      </c>
      <c r="H5" s="41" t="s">
        <v>141</v>
      </c>
      <c r="I5" s="41" t="s">
        <v>141</v>
      </c>
      <c r="J5" s="13"/>
      <c r="K5" s="2"/>
      <c r="L5" s="2"/>
    </row>
    <row r="6" spans="1:12" ht="48" x14ac:dyDescent="0.3">
      <c r="A6" s="6"/>
      <c r="B6" s="5"/>
      <c r="C6" s="4"/>
      <c r="D6" s="15" t="s">
        <v>187</v>
      </c>
      <c r="E6" s="41"/>
      <c r="F6" s="41">
        <f>74.2</f>
        <v>74.2</v>
      </c>
      <c r="G6" s="13" t="s">
        <v>115</v>
      </c>
      <c r="H6" s="47">
        <f>68753.8/F6</f>
        <v>926.60107816711593</v>
      </c>
      <c r="I6" s="55">
        <f>F6*H6</f>
        <v>68753.8</v>
      </c>
      <c r="J6" s="13" t="s">
        <v>123</v>
      </c>
      <c r="K6" s="2"/>
      <c r="L6" s="2"/>
    </row>
    <row r="7" spans="1:12" ht="48" x14ac:dyDescent="0.3">
      <c r="A7" s="6"/>
      <c r="B7" s="5"/>
      <c r="C7" s="4"/>
      <c r="D7" s="15" t="s">
        <v>188</v>
      </c>
      <c r="E7" s="41"/>
      <c r="F7" s="41">
        <f>42.5+15</f>
        <v>57.5</v>
      </c>
      <c r="G7" s="13" t="s">
        <v>115</v>
      </c>
      <c r="H7" s="47">
        <f>(45530.4+9653.2)/F7</f>
        <v>959.71478260869571</v>
      </c>
      <c r="I7" s="55">
        <f>F7*H7</f>
        <v>55183.600000000006</v>
      </c>
      <c r="J7" s="13" t="s">
        <v>123</v>
      </c>
      <c r="K7" s="2"/>
      <c r="L7" s="2"/>
    </row>
    <row r="8" spans="1:12" ht="18.75" x14ac:dyDescent="0.3">
      <c r="A8" s="6"/>
      <c r="B8" s="5"/>
      <c r="C8" s="4"/>
      <c r="D8" s="15" t="s">
        <v>183</v>
      </c>
      <c r="E8" s="41" t="s">
        <v>141</v>
      </c>
      <c r="F8" s="41">
        <f>15</f>
        <v>15</v>
      </c>
      <c r="G8" s="13" t="s">
        <v>115</v>
      </c>
      <c r="H8" s="47">
        <f>(366.2+1059.6)/F8</f>
        <v>95.053333333333327</v>
      </c>
      <c r="I8" s="58">
        <f>F8*H8</f>
        <v>1425.8</v>
      </c>
      <c r="J8" s="13" t="s">
        <v>123</v>
      </c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189</v>
      </c>
      <c r="E9" s="41" t="s">
        <v>141</v>
      </c>
      <c r="F9" s="41">
        <f>38</f>
        <v>38</v>
      </c>
      <c r="G9" s="13" t="s">
        <v>30</v>
      </c>
      <c r="H9" s="47">
        <f>23926.6/F9</f>
        <v>629.64736842105265</v>
      </c>
      <c r="I9" s="55">
        <f>F9*H9</f>
        <v>23926.600000000002</v>
      </c>
      <c r="J9" s="13" t="s">
        <v>123</v>
      </c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1" t="s">
        <v>141</v>
      </c>
      <c r="F10" s="41" t="s">
        <v>141</v>
      </c>
      <c r="G10" s="13" t="s">
        <v>30</v>
      </c>
      <c r="H10" s="41"/>
      <c r="I10" s="41" t="s">
        <v>141</v>
      </c>
      <c r="J10" s="5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1" t="s">
        <v>141</v>
      </c>
      <c r="F11" s="41" t="s">
        <v>141</v>
      </c>
      <c r="G11" s="13" t="s">
        <v>30</v>
      </c>
      <c r="H11" s="41"/>
      <c r="I11" s="41" t="s">
        <v>141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141</v>
      </c>
      <c r="F12" s="41" t="s">
        <v>141</v>
      </c>
      <c r="G12" s="13" t="s">
        <v>30</v>
      </c>
      <c r="H12" s="41"/>
      <c r="I12" s="41" t="s">
        <v>141</v>
      </c>
      <c r="J12" s="5"/>
      <c r="K12" s="2"/>
      <c r="L12" s="2"/>
    </row>
    <row r="13" spans="1:12" ht="18.75" x14ac:dyDescent="0.3">
      <c r="A13" s="6" t="s">
        <v>5</v>
      </c>
      <c r="B13" s="5"/>
      <c r="C13" s="4"/>
      <c r="D13" s="4" t="s">
        <v>86</v>
      </c>
      <c r="E13" s="41" t="s">
        <v>141</v>
      </c>
      <c r="F13" s="41" t="s">
        <v>141</v>
      </c>
      <c r="G13" s="13" t="s">
        <v>31</v>
      </c>
      <c r="H13" s="41"/>
      <c r="I13" s="41" t="s">
        <v>141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141</v>
      </c>
      <c r="F14" s="41" t="s">
        <v>141</v>
      </c>
      <c r="G14" s="14" t="s">
        <v>31</v>
      </c>
      <c r="H14" s="41"/>
      <c r="I14" s="41" t="s">
        <v>141</v>
      </c>
      <c r="J14" s="5"/>
      <c r="K14" s="2"/>
      <c r="L14" s="2"/>
    </row>
    <row r="15" spans="1:12" ht="32.25" x14ac:dyDescent="0.3">
      <c r="A15" s="6" t="s">
        <v>63</v>
      </c>
      <c r="B15" s="5"/>
      <c r="C15" s="4"/>
      <c r="D15" s="15" t="s">
        <v>52</v>
      </c>
      <c r="E15" s="41" t="s">
        <v>141</v>
      </c>
      <c r="F15" s="41" t="s">
        <v>141</v>
      </c>
      <c r="G15" s="13" t="s">
        <v>30</v>
      </c>
      <c r="H15" s="41"/>
      <c r="I15" s="41" t="s">
        <v>141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141</v>
      </c>
      <c r="F16" s="41" t="s">
        <v>141</v>
      </c>
      <c r="G16" s="13" t="s">
        <v>30</v>
      </c>
      <c r="H16" s="41"/>
      <c r="I16" s="41" t="s">
        <v>141</v>
      </c>
      <c r="J16" s="5"/>
      <c r="K16" s="2"/>
      <c r="L16" s="2"/>
    </row>
    <row r="17" spans="1:12" ht="27" customHeight="1" x14ac:dyDescent="0.3">
      <c r="A17" s="28"/>
      <c r="B17" s="22"/>
      <c r="C17" s="22"/>
      <c r="D17" s="30"/>
      <c r="E17" s="44"/>
      <c r="F17" s="44"/>
      <c r="G17" s="31"/>
      <c r="H17" s="41"/>
      <c r="I17" s="41">
        <f>SUM(I8:I16)</f>
        <v>25352.400000000001</v>
      </c>
      <c r="J17" s="5"/>
      <c r="K17" s="2"/>
      <c r="L17" s="2"/>
    </row>
    <row r="18" spans="1:12" ht="18.75" x14ac:dyDescent="0.3">
      <c r="A18" s="79" t="s">
        <v>56</v>
      </c>
      <c r="B18" s="80"/>
      <c r="C18" s="80"/>
      <c r="D18" s="80"/>
      <c r="E18" s="80"/>
      <c r="F18" s="80"/>
      <c r="G18" s="81"/>
      <c r="H18" s="14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141</v>
      </c>
      <c r="F19" s="41" t="s">
        <v>141</v>
      </c>
      <c r="G19" s="14" t="s">
        <v>54</v>
      </c>
      <c r="H19" s="41"/>
      <c r="I19" s="41" t="s">
        <v>141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141</v>
      </c>
      <c r="F20" s="41" t="s">
        <v>141</v>
      </c>
      <c r="G20" s="14" t="s">
        <v>53</v>
      </c>
      <c r="H20" s="41"/>
      <c r="I20" s="41" t="s">
        <v>141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141</v>
      </c>
      <c r="F21" s="41" t="s">
        <v>141</v>
      </c>
      <c r="G21" s="14" t="s">
        <v>53</v>
      </c>
      <c r="H21" s="41"/>
      <c r="I21" s="41" t="s">
        <v>141</v>
      </c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141</v>
      </c>
      <c r="F22" s="41" t="s">
        <v>141</v>
      </c>
      <c r="G22" s="14" t="s">
        <v>53</v>
      </c>
      <c r="H22" s="41"/>
      <c r="I22" s="41" t="s">
        <v>141</v>
      </c>
      <c r="J22" s="5"/>
      <c r="K22" s="2"/>
      <c r="L22" s="2"/>
    </row>
    <row r="23" spans="1:12" ht="18.75" x14ac:dyDescent="0.3">
      <c r="A23" s="6"/>
      <c r="B23" s="5"/>
      <c r="C23" s="4"/>
      <c r="D23" s="4" t="s">
        <v>192</v>
      </c>
      <c r="E23" s="41"/>
      <c r="F23" s="41">
        <v>3.7999999999999999E-2</v>
      </c>
      <c r="G23" s="13" t="s">
        <v>138</v>
      </c>
      <c r="H23" s="47">
        <f>1413.2/F23</f>
        <v>37189.473684210527</v>
      </c>
      <c r="I23" s="55">
        <f>F23*H23</f>
        <v>1413.2</v>
      </c>
      <c r="J23" s="13" t="s">
        <v>122</v>
      </c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141</v>
      </c>
      <c r="F24" s="41" t="s">
        <v>141</v>
      </c>
      <c r="G24" s="14" t="s">
        <v>53</v>
      </c>
      <c r="H24" s="41"/>
      <c r="I24" s="41" t="s">
        <v>141</v>
      </c>
      <c r="J24" s="5"/>
      <c r="K24" s="2"/>
      <c r="L24" s="2"/>
    </row>
    <row r="25" spans="1:12" ht="18.75" x14ac:dyDescent="0.3">
      <c r="A25" s="6"/>
      <c r="B25" s="5"/>
      <c r="C25" s="4"/>
      <c r="D25" s="4" t="s">
        <v>175</v>
      </c>
      <c r="E25" s="41"/>
      <c r="F25" s="41">
        <v>1</v>
      </c>
      <c r="G25" s="14" t="s">
        <v>115</v>
      </c>
      <c r="H25" s="47">
        <f>2656.2/F25</f>
        <v>2656.2</v>
      </c>
      <c r="I25" s="64">
        <f>F25*H25</f>
        <v>2656.2</v>
      </c>
      <c r="J25" s="13" t="s">
        <v>120</v>
      </c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141</v>
      </c>
      <c r="F26" s="41" t="s">
        <v>141</v>
      </c>
      <c r="G26" s="13" t="s">
        <v>30</v>
      </c>
      <c r="H26" s="41"/>
      <c r="I26" s="41" t="s">
        <v>141</v>
      </c>
      <c r="J26" s="5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41</v>
      </c>
      <c r="E27" s="41" t="s">
        <v>141</v>
      </c>
      <c r="F27" s="41" t="s">
        <v>141</v>
      </c>
      <c r="G27" s="14" t="s">
        <v>53</v>
      </c>
      <c r="H27" s="41"/>
      <c r="I27" s="41" t="s">
        <v>141</v>
      </c>
      <c r="J27" s="5"/>
      <c r="K27" s="2"/>
      <c r="L27" s="2"/>
    </row>
    <row r="28" spans="1:12" ht="24.75" customHeight="1" x14ac:dyDescent="0.3">
      <c r="A28" s="6"/>
      <c r="B28" s="5"/>
      <c r="C28" s="4"/>
      <c r="D28" s="15" t="s">
        <v>168</v>
      </c>
      <c r="E28" s="41"/>
      <c r="F28" s="41">
        <f>3+4+2</f>
        <v>9</v>
      </c>
      <c r="G28" s="14" t="s">
        <v>31</v>
      </c>
      <c r="H28" s="47"/>
      <c r="I28" s="55">
        <f>F28*H28</f>
        <v>0</v>
      </c>
      <c r="J28" s="13" t="s">
        <v>123</v>
      </c>
      <c r="K28" s="2"/>
      <c r="L28" s="2"/>
    </row>
    <row r="29" spans="1:12" ht="18.75" x14ac:dyDescent="0.3">
      <c r="A29" s="6" t="s">
        <v>55</v>
      </c>
      <c r="B29" s="5"/>
      <c r="C29" s="4"/>
      <c r="D29" s="15" t="s">
        <v>142</v>
      </c>
      <c r="E29" s="41" t="s">
        <v>141</v>
      </c>
      <c r="F29" s="41" t="s">
        <v>141</v>
      </c>
      <c r="G29" s="14" t="s">
        <v>30</v>
      </c>
      <c r="H29" s="41"/>
      <c r="I29" s="41" t="s">
        <v>141</v>
      </c>
      <c r="J29" s="13"/>
      <c r="L29" s="2"/>
    </row>
    <row r="30" spans="1:12" ht="32.25" x14ac:dyDescent="0.3">
      <c r="A30" s="6"/>
      <c r="B30" s="5"/>
      <c r="C30" s="4"/>
      <c r="D30" s="15" t="s">
        <v>191</v>
      </c>
      <c r="E30" s="41"/>
      <c r="F30" s="41">
        <f>98</f>
        <v>98</v>
      </c>
      <c r="G30" s="14" t="s">
        <v>115</v>
      </c>
      <c r="H30" s="47">
        <f>16256.4/F30</f>
        <v>165.88163265306122</v>
      </c>
      <c r="I30" s="64">
        <f>F30*H30</f>
        <v>16256.4</v>
      </c>
      <c r="J30" s="13" t="s">
        <v>123</v>
      </c>
      <c r="L30" s="2"/>
    </row>
    <row r="31" spans="1:12" ht="32.25" x14ac:dyDescent="0.3">
      <c r="A31" s="6" t="s">
        <v>57</v>
      </c>
      <c r="B31" s="5"/>
      <c r="C31" s="4"/>
      <c r="D31" s="15" t="s">
        <v>94</v>
      </c>
      <c r="E31" s="41" t="s">
        <v>141</v>
      </c>
      <c r="F31" s="41" t="s">
        <v>141</v>
      </c>
      <c r="G31" s="14" t="s">
        <v>53</v>
      </c>
      <c r="H31" s="41"/>
      <c r="I31" s="41" t="s">
        <v>141</v>
      </c>
      <c r="J31" s="5"/>
      <c r="L31" s="2"/>
    </row>
    <row r="32" spans="1:12" ht="32.25" x14ac:dyDescent="0.3">
      <c r="A32" s="6" t="s">
        <v>14</v>
      </c>
      <c r="B32" s="5"/>
      <c r="C32" s="4"/>
      <c r="D32" s="15" t="s">
        <v>93</v>
      </c>
      <c r="E32" s="41" t="s">
        <v>141</v>
      </c>
      <c r="F32" s="41" t="s">
        <v>141</v>
      </c>
      <c r="G32" s="14" t="s">
        <v>54</v>
      </c>
      <c r="H32" s="41"/>
      <c r="I32" s="41" t="s">
        <v>141</v>
      </c>
      <c r="J32" s="5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141</v>
      </c>
      <c r="F33" s="41" t="s">
        <v>141</v>
      </c>
      <c r="G33" s="14" t="s">
        <v>54</v>
      </c>
      <c r="H33" s="41"/>
      <c r="I33" s="41" t="s">
        <v>141</v>
      </c>
      <c r="J33" s="5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141</v>
      </c>
      <c r="F34" s="41" t="s">
        <v>141</v>
      </c>
      <c r="G34" s="14" t="s">
        <v>53</v>
      </c>
      <c r="H34" s="41"/>
      <c r="I34" s="41" t="s">
        <v>141</v>
      </c>
      <c r="J34" s="5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141</v>
      </c>
      <c r="F35" s="41" t="s">
        <v>141</v>
      </c>
      <c r="G35" s="13" t="s">
        <v>30</v>
      </c>
      <c r="H35" s="41"/>
      <c r="I35" s="41" t="s">
        <v>141</v>
      </c>
      <c r="J35" s="5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1" t="s">
        <v>141</v>
      </c>
      <c r="F36" s="41" t="s">
        <v>141</v>
      </c>
      <c r="G36" s="14" t="s">
        <v>54</v>
      </c>
      <c r="H36" s="41"/>
      <c r="I36" s="41" t="s">
        <v>141</v>
      </c>
      <c r="J36" s="5"/>
      <c r="L36" s="2"/>
    </row>
    <row r="37" spans="1:12" ht="18.75" x14ac:dyDescent="0.3">
      <c r="A37" s="28"/>
      <c r="B37" s="22"/>
      <c r="C37" s="22"/>
      <c r="D37" s="22"/>
      <c r="E37" s="44"/>
      <c r="F37" s="44"/>
      <c r="G37" s="12"/>
      <c r="H37" s="41"/>
      <c r="I37" s="41">
        <f>SUM(I23:I36)</f>
        <v>20325.8</v>
      </c>
      <c r="J37" s="5"/>
      <c r="L37" s="2"/>
    </row>
    <row r="38" spans="1:12" ht="24" customHeight="1" x14ac:dyDescent="0.3">
      <c r="A38" s="79" t="s">
        <v>85</v>
      </c>
      <c r="B38" s="80"/>
      <c r="C38" s="80"/>
      <c r="D38" s="80"/>
      <c r="E38" s="80"/>
      <c r="F38" s="80"/>
      <c r="G38" s="81"/>
      <c r="H38" s="14"/>
      <c r="I38" s="5"/>
      <c r="J38" s="5"/>
      <c r="L38" s="2"/>
    </row>
    <row r="39" spans="1:12" ht="32.25" customHeight="1" x14ac:dyDescent="0.3">
      <c r="A39" s="6" t="s">
        <v>49</v>
      </c>
      <c r="B39" s="5"/>
      <c r="C39" s="4"/>
      <c r="D39" s="15" t="s">
        <v>152</v>
      </c>
      <c r="E39" s="32"/>
      <c r="F39" s="13"/>
      <c r="G39" s="38" t="s">
        <v>153</v>
      </c>
      <c r="H39" s="13"/>
      <c r="I39" s="13"/>
      <c r="J39" s="13"/>
      <c r="L39" s="2"/>
    </row>
    <row r="40" spans="1:12" ht="32.25" customHeight="1" x14ac:dyDescent="0.3">
      <c r="A40" s="6"/>
      <c r="B40" s="5"/>
      <c r="C40" s="4"/>
      <c r="D40" s="15" t="s">
        <v>202</v>
      </c>
      <c r="E40" s="32"/>
      <c r="F40" s="31">
        <f>10.65</f>
        <v>10.65</v>
      </c>
      <c r="G40" s="38" t="s">
        <v>158</v>
      </c>
      <c r="H40" s="68">
        <f>492.2/F40</f>
        <v>46.215962441314552</v>
      </c>
      <c r="I40" s="56">
        <f t="shared" ref="I40:I45" si="0">F40*H40</f>
        <v>492.2</v>
      </c>
      <c r="J40" s="13" t="s">
        <v>122</v>
      </c>
      <c r="L40" s="2"/>
    </row>
    <row r="41" spans="1:12" ht="32.25" customHeight="1" x14ac:dyDescent="0.3">
      <c r="A41" s="6"/>
      <c r="B41" s="5"/>
      <c r="C41" s="4"/>
      <c r="D41" s="15" t="s">
        <v>203</v>
      </c>
      <c r="E41" s="32"/>
      <c r="F41" s="31">
        <f>7+13</f>
        <v>20</v>
      </c>
      <c r="G41" s="38" t="s">
        <v>31</v>
      </c>
      <c r="H41" s="68">
        <f>(4385.2+7836.8)/F41</f>
        <v>611.1</v>
      </c>
      <c r="I41" s="56">
        <f t="shared" si="0"/>
        <v>12222</v>
      </c>
      <c r="J41" s="13" t="s">
        <v>122</v>
      </c>
      <c r="L41" s="2"/>
    </row>
    <row r="42" spans="1:12" ht="32.25" customHeight="1" x14ac:dyDescent="0.3">
      <c r="A42" s="6"/>
      <c r="B42" s="5"/>
      <c r="C42" s="4"/>
      <c r="D42" s="15" t="s">
        <v>204</v>
      </c>
      <c r="E42" s="32"/>
      <c r="F42" s="31">
        <f>55+90+2</f>
        <v>147</v>
      </c>
      <c r="G42" s="38" t="s">
        <v>31</v>
      </c>
      <c r="H42" s="68">
        <f>(21848.6+34488.4+795)/F42</f>
        <v>388.65306122448982</v>
      </c>
      <c r="I42" s="56">
        <f t="shared" si="0"/>
        <v>57132</v>
      </c>
      <c r="J42" s="13" t="s">
        <v>122</v>
      </c>
      <c r="L42" s="2"/>
    </row>
    <row r="43" spans="1:12" ht="32.25" customHeight="1" x14ac:dyDescent="0.3">
      <c r="A43" s="6"/>
      <c r="B43" s="5"/>
      <c r="C43" s="4"/>
      <c r="D43" s="15" t="s">
        <v>205</v>
      </c>
      <c r="E43" s="32"/>
      <c r="F43" s="31">
        <f>40+2+1</f>
        <v>43</v>
      </c>
      <c r="G43" s="38" t="s">
        <v>31</v>
      </c>
      <c r="H43" s="68">
        <f>(62063.8+2958.4+1552)/F43</f>
        <v>1548.2372093023259</v>
      </c>
      <c r="I43" s="56">
        <f t="shared" si="0"/>
        <v>66574.200000000012</v>
      </c>
      <c r="J43" s="13" t="s">
        <v>122</v>
      </c>
      <c r="L43" s="2"/>
    </row>
    <row r="44" spans="1:12" ht="32.25" customHeight="1" x14ac:dyDescent="0.3">
      <c r="A44" s="6"/>
      <c r="B44" s="5"/>
      <c r="C44" s="4"/>
      <c r="D44" s="15" t="s">
        <v>250</v>
      </c>
      <c r="E44" s="32"/>
      <c r="F44" s="31">
        <f>2</f>
        <v>2</v>
      </c>
      <c r="G44" s="38" t="s">
        <v>31</v>
      </c>
      <c r="H44" s="68">
        <f>2155/F44</f>
        <v>1077.5</v>
      </c>
      <c r="I44" s="56">
        <f t="shared" si="0"/>
        <v>2155</v>
      </c>
      <c r="J44" s="13"/>
      <c r="L44" s="2"/>
    </row>
    <row r="45" spans="1:12" ht="54" customHeight="1" x14ac:dyDescent="0.3">
      <c r="A45" s="6"/>
      <c r="B45" s="5"/>
      <c r="C45" s="4"/>
      <c r="D45" s="15" t="s">
        <v>206</v>
      </c>
      <c r="E45" s="32"/>
      <c r="F45" s="31">
        <v>5</v>
      </c>
      <c r="G45" s="13" t="s">
        <v>154</v>
      </c>
      <c r="H45" s="68">
        <f>6040.6/F45</f>
        <v>1208.1200000000001</v>
      </c>
      <c r="I45" s="56">
        <f t="shared" si="0"/>
        <v>6040.6</v>
      </c>
      <c r="J45" s="13" t="s">
        <v>122</v>
      </c>
      <c r="L45" s="2"/>
    </row>
    <row r="46" spans="1:12" ht="54" customHeight="1" x14ac:dyDescent="0.3">
      <c r="A46" s="6"/>
      <c r="B46" s="5"/>
      <c r="C46" s="4"/>
      <c r="D46" s="15" t="s">
        <v>208</v>
      </c>
      <c r="E46" s="32"/>
      <c r="F46" s="31">
        <f>4+2</f>
        <v>6</v>
      </c>
      <c r="G46" s="13" t="s">
        <v>154</v>
      </c>
      <c r="H46" s="68">
        <f>(999.8+456.6)/F46</f>
        <v>242.73333333333335</v>
      </c>
      <c r="I46" s="56">
        <f t="shared" ref="I46:I48" si="1">F46*H46</f>
        <v>1456.4</v>
      </c>
      <c r="J46" s="13" t="s">
        <v>122</v>
      </c>
      <c r="L46" s="2"/>
    </row>
    <row r="47" spans="1:12" ht="54" customHeight="1" x14ac:dyDescent="0.3">
      <c r="A47" s="6"/>
      <c r="B47" s="5"/>
      <c r="C47" s="4"/>
      <c r="D47" s="15" t="s">
        <v>209</v>
      </c>
      <c r="E47" s="32"/>
      <c r="F47" s="31">
        <v>8</v>
      </c>
      <c r="G47" s="13" t="s">
        <v>207</v>
      </c>
      <c r="H47" s="31">
        <f>25052/F47</f>
        <v>3131.5</v>
      </c>
      <c r="I47" s="56">
        <f t="shared" si="1"/>
        <v>25052</v>
      </c>
      <c r="J47" s="13" t="s">
        <v>122</v>
      </c>
      <c r="L47" s="2"/>
    </row>
    <row r="48" spans="1:12" ht="54" customHeight="1" x14ac:dyDescent="0.3">
      <c r="A48" s="6"/>
      <c r="B48" s="5"/>
      <c r="C48" s="4"/>
      <c r="D48" s="15" t="s">
        <v>210</v>
      </c>
      <c r="E48" s="32"/>
      <c r="F48" s="31">
        <v>74</v>
      </c>
      <c r="G48" s="13" t="s">
        <v>31</v>
      </c>
      <c r="H48" s="68">
        <f>35603.4/F48</f>
        <v>481.12702702702705</v>
      </c>
      <c r="I48" s="56">
        <f t="shared" si="1"/>
        <v>35603.4</v>
      </c>
      <c r="J48" s="13" t="s">
        <v>122</v>
      </c>
      <c r="L48" s="2"/>
    </row>
    <row r="49" spans="1:12" ht="54" customHeight="1" x14ac:dyDescent="0.3">
      <c r="A49" s="6"/>
      <c r="B49" s="5"/>
      <c r="C49" s="4"/>
      <c r="D49" s="15" t="s">
        <v>211</v>
      </c>
      <c r="E49" s="32"/>
      <c r="F49" s="31">
        <f>0.56+0.5</f>
        <v>1.06</v>
      </c>
      <c r="G49" s="13" t="s">
        <v>115</v>
      </c>
      <c r="H49" s="68">
        <f>(1428.2+1384)/F49</f>
        <v>2653.018867924528</v>
      </c>
      <c r="I49" s="56">
        <f t="shared" ref="I49:I52" si="2">F49*H49</f>
        <v>2812.2</v>
      </c>
      <c r="J49" s="13" t="s">
        <v>122</v>
      </c>
      <c r="L49" s="2"/>
    </row>
    <row r="50" spans="1:12" ht="51" customHeight="1" x14ac:dyDescent="0.3">
      <c r="A50" s="6"/>
      <c r="B50" s="5"/>
      <c r="C50" s="4"/>
      <c r="D50" s="15" t="s">
        <v>212</v>
      </c>
      <c r="E50" s="32"/>
      <c r="F50" s="31">
        <f>3.02+4.5</f>
        <v>7.52</v>
      </c>
      <c r="G50" s="13" t="s">
        <v>115</v>
      </c>
      <c r="H50" s="68">
        <f>(6416+10640.4)/F50</f>
        <v>2268.1382978723409</v>
      </c>
      <c r="I50" s="56">
        <f t="shared" si="2"/>
        <v>17056.400000000001</v>
      </c>
      <c r="J50" s="13" t="s">
        <v>122</v>
      </c>
      <c r="L50" s="2"/>
    </row>
    <row r="51" spans="1:12" ht="32.25" customHeight="1" x14ac:dyDescent="0.3">
      <c r="A51" s="6"/>
      <c r="B51" s="5"/>
      <c r="C51" s="4"/>
      <c r="D51" s="15" t="s">
        <v>213</v>
      </c>
      <c r="E51" s="32"/>
      <c r="F51" s="31">
        <v>2</v>
      </c>
      <c r="G51" s="13" t="s">
        <v>31</v>
      </c>
      <c r="H51" s="68">
        <f>3562/F51</f>
        <v>1781</v>
      </c>
      <c r="I51" s="56">
        <f t="shared" si="2"/>
        <v>3562</v>
      </c>
      <c r="J51" s="13" t="s">
        <v>122</v>
      </c>
      <c r="L51" s="2"/>
    </row>
    <row r="52" spans="1:12" ht="32.25" customHeight="1" x14ac:dyDescent="0.3">
      <c r="A52" s="6"/>
      <c r="B52" s="5"/>
      <c r="C52" s="4"/>
      <c r="D52" s="15" t="s">
        <v>214</v>
      </c>
      <c r="E52" s="32"/>
      <c r="F52" s="31">
        <f>103.4+110</f>
        <v>213.4</v>
      </c>
      <c r="G52" s="13" t="s">
        <v>158</v>
      </c>
      <c r="H52" s="68">
        <f>(14831+15178.2)/F52</f>
        <v>140.62417994376756</v>
      </c>
      <c r="I52" s="56">
        <f t="shared" si="2"/>
        <v>30009.199999999997</v>
      </c>
      <c r="J52" s="13" t="s">
        <v>122</v>
      </c>
      <c r="L52" s="2"/>
    </row>
    <row r="53" spans="1:12" ht="32.25" customHeight="1" x14ac:dyDescent="0.3">
      <c r="A53" s="6"/>
      <c r="B53" s="5"/>
      <c r="C53" s="4"/>
      <c r="D53" s="15" t="s">
        <v>215</v>
      </c>
      <c r="E53" s="32"/>
      <c r="F53" s="31">
        <v>5</v>
      </c>
      <c r="G53" s="13" t="s">
        <v>31</v>
      </c>
      <c r="H53" s="31">
        <f>36606.2/F53</f>
        <v>7321.24</v>
      </c>
      <c r="I53" s="56">
        <f t="shared" ref="I53:I58" si="3">F53*H53</f>
        <v>36606.199999999997</v>
      </c>
      <c r="J53" s="13" t="s">
        <v>122</v>
      </c>
      <c r="L53" s="2"/>
    </row>
    <row r="54" spans="1:12" ht="32.25" customHeight="1" x14ac:dyDescent="0.3">
      <c r="A54" s="6"/>
      <c r="B54" s="5"/>
      <c r="C54" s="4"/>
      <c r="D54" s="15" t="s">
        <v>216</v>
      </c>
      <c r="E54" s="32"/>
      <c r="F54" s="31">
        <f>1</f>
        <v>1</v>
      </c>
      <c r="G54" s="13" t="s">
        <v>31</v>
      </c>
      <c r="H54" s="31">
        <f>1079/F54</f>
        <v>1079</v>
      </c>
      <c r="I54" s="56">
        <f t="shared" si="3"/>
        <v>1079</v>
      </c>
      <c r="J54" s="13" t="s">
        <v>122</v>
      </c>
      <c r="L54" s="2"/>
    </row>
    <row r="55" spans="1:12" ht="32.25" customHeight="1" x14ac:dyDescent="0.3">
      <c r="A55" s="6"/>
      <c r="B55" s="5"/>
      <c r="C55" s="4"/>
      <c r="D55" s="15" t="s">
        <v>200</v>
      </c>
      <c r="E55" s="41"/>
      <c r="F55" s="41">
        <v>216</v>
      </c>
      <c r="G55" s="13" t="s">
        <v>30</v>
      </c>
      <c r="H55" s="47">
        <f>58537/F55</f>
        <v>271.00462962962962</v>
      </c>
      <c r="I55" s="55">
        <f t="shared" si="3"/>
        <v>58537</v>
      </c>
      <c r="J55" s="13" t="s">
        <v>122</v>
      </c>
      <c r="L55" s="2"/>
    </row>
    <row r="56" spans="1:12" ht="69.75" customHeight="1" x14ac:dyDescent="0.3">
      <c r="A56" s="6"/>
      <c r="B56" s="5"/>
      <c r="C56" s="4"/>
      <c r="D56" s="15" t="s">
        <v>217</v>
      </c>
      <c r="E56" s="41"/>
      <c r="F56" s="41">
        <v>18</v>
      </c>
      <c r="G56" s="13" t="s">
        <v>158</v>
      </c>
      <c r="H56" s="47">
        <f>17874.2/F56</f>
        <v>993.01111111111118</v>
      </c>
      <c r="I56" s="55">
        <f t="shared" si="3"/>
        <v>17874.2</v>
      </c>
      <c r="J56" s="13" t="s">
        <v>122</v>
      </c>
      <c r="L56" s="2"/>
    </row>
    <row r="57" spans="1:12" ht="69.75" customHeight="1" x14ac:dyDescent="0.3">
      <c r="A57" s="6"/>
      <c r="B57" s="5"/>
      <c r="C57" s="4"/>
      <c r="D57" s="15" t="s">
        <v>220</v>
      </c>
      <c r="E57" s="41"/>
      <c r="F57" s="41">
        <f>5.54+190.32</f>
        <v>195.85999999999999</v>
      </c>
      <c r="G57" s="13" t="s">
        <v>115</v>
      </c>
      <c r="H57" s="47">
        <f>(1302.6+39516.6)/F57</f>
        <v>208.4100888389666</v>
      </c>
      <c r="I57" s="55">
        <f t="shared" si="3"/>
        <v>40819.199999999997</v>
      </c>
      <c r="J57" s="13" t="s">
        <v>122</v>
      </c>
      <c r="L57" s="2"/>
    </row>
    <row r="58" spans="1:12" ht="69.75" customHeight="1" x14ac:dyDescent="0.3">
      <c r="A58" s="6"/>
      <c r="B58" s="5"/>
      <c r="C58" s="4"/>
      <c r="D58" s="15" t="s">
        <v>233</v>
      </c>
      <c r="E58" s="41"/>
      <c r="F58" s="41">
        <f>281</f>
        <v>281</v>
      </c>
      <c r="G58" s="13" t="s">
        <v>115</v>
      </c>
      <c r="H58" s="47">
        <f>128174.8/F58</f>
        <v>456.13807829181496</v>
      </c>
      <c r="I58" s="55">
        <f t="shared" si="3"/>
        <v>128174.8</v>
      </c>
      <c r="J58" s="13" t="s">
        <v>122</v>
      </c>
      <c r="L58" s="2"/>
    </row>
    <row r="59" spans="1:12" ht="69.75" customHeight="1" x14ac:dyDescent="0.3">
      <c r="A59" s="6"/>
      <c r="B59" s="5"/>
      <c r="C59" s="4"/>
      <c r="D59" s="15" t="s">
        <v>237</v>
      </c>
      <c r="E59" s="41"/>
      <c r="F59" s="41">
        <f>29</f>
        <v>29</v>
      </c>
      <c r="G59" s="13" t="s">
        <v>31</v>
      </c>
      <c r="H59" s="47">
        <f>42217/F59</f>
        <v>1455.7586206896551</v>
      </c>
      <c r="I59" s="55">
        <f>F59*H59</f>
        <v>42217</v>
      </c>
      <c r="J59" s="13" t="s">
        <v>122</v>
      </c>
      <c r="L59" s="2"/>
    </row>
    <row r="60" spans="1:12" ht="69.75" customHeight="1" x14ac:dyDescent="0.3">
      <c r="A60" s="6"/>
      <c r="B60" s="5"/>
      <c r="C60" s="4"/>
      <c r="D60" s="15" t="s">
        <v>238</v>
      </c>
      <c r="E60" s="41"/>
      <c r="F60" s="41">
        <f>28</f>
        <v>28</v>
      </c>
      <c r="G60" s="13" t="s">
        <v>31</v>
      </c>
      <c r="H60" s="47">
        <f>96639.6/F60</f>
        <v>3451.4142857142861</v>
      </c>
      <c r="I60" s="55">
        <f>F60*H60</f>
        <v>96639.6</v>
      </c>
      <c r="J60" s="13" t="s">
        <v>122</v>
      </c>
      <c r="L60" s="2"/>
    </row>
    <row r="61" spans="1:12" ht="69.75" customHeight="1" x14ac:dyDescent="0.3">
      <c r="A61" s="6"/>
      <c r="B61" s="5"/>
      <c r="C61" s="4"/>
      <c r="D61" s="15" t="s">
        <v>248</v>
      </c>
      <c r="E61" s="41"/>
      <c r="F61" s="41">
        <f>1.4</f>
        <v>1.4</v>
      </c>
      <c r="G61" s="13" t="s">
        <v>115</v>
      </c>
      <c r="H61" s="47">
        <f>2062.8/F61</f>
        <v>1473.4285714285716</v>
      </c>
      <c r="I61" s="55">
        <f>F61*H61</f>
        <v>2062.8000000000002</v>
      </c>
      <c r="J61" s="13" t="s">
        <v>122</v>
      </c>
      <c r="L61" s="2"/>
    </row>
    <row r="62" spans="1:12" ht="69.75" customHeight="1" x14ac:dyDescent="0.3">
      <c r="A62" s="6"/>
      <c r="B62" s="5"/>
      <c r="C62" s="4"/>
      <c r="D62" s="15" t="s">
        <v>249</v>
      </c>
      <c r="E62" s="41"/>
      <c r="F62" s="41">
        <f>1</f>
        <v>1</v>
      </c>
      <c r="G62" s="13" t="s">
        <v>31</v>
      </c>
      <c r="H62" s="47">
        <f>2190.6/F62</f>
        <v>2190.6</v>
      </c>
      <c r="I62" s="55">
        <f>F62*H62</f>
        <v>2190.6</v>
      </c>
      <c r="J62" s="13" t="s">
        <v>122</v>
      </c>
      <c r="L62" s="2"/>
    </row>
    <row r="63" spans="1:12" ht="69.75" customHeight="1" x14ac:dyDescent="0.3">
      <c r="A63" s="6"/>
      <c r="B63" s="5"/>
      <c r="C63" s="4"/>
      <c r="D63" s="15" t="s">
        <v>251</v>
      </c>
      <c r="E63" s="41"/>
      <c r="F63" s="41">
        <v>8.4000000000000005E-2</v>
      </c>
      <c r="G63" s="13" t="s">
        <v>138</v>
      </c>
      <c r="H63" s="47">
        <f>2015/F63</f>
        <v>23988.095238095237</v>
      </c>
      <c r="I63" s="55">
        <f>F63*H63</f>
        <v>2015</v>
      </c>
      <c r="J63" s="13" t="s">
        <v>122</v>
      </c>
      <c r="L63" s="2"/>
    </row>
    <row r="64" spans="1:12" ht="32.25" x14ac:dyDescent="0.3">
      <c r="A64" s="6" t="s">
        <v>50</v>
      </c>
      <c r="B64" s="5"/>
      <c r="C64" s="4"/>
      <c r="D64" s="15" t="s">
        <v>99</v>
      </c>
      <c r="E64" s="41"/>
      <c r="F64" s="41"/>
      <c r="G64" s="13" t="s">
        <v>54</v>
      </c>
      <c r="H64" s="41"/>
      <c r="I64" s="41"/>
      <c r="J64" s="13"/>
      <c r="L64" s="2"/>
    </row>
    <row r="65" spans="1:12" ht="18.75" x14ac:dyDescent="0.3">
      <c r="A65" s="6"/>
      <c r="B65" s="5"/>
      <c r="C65" s="4"/>
      <c r="D65" s="15" t="s">
        <v>176</v>
      </c>
      <c r="E65" s="41"/>
      <c r="F65" s="41">
        <f>22</f>
        <v>22</v>
      </c>
      <c r="G65" s="13" t="s">
        <v>31</v>
      </c>
      <c r="H65" s="47">
        <f>10356.4/F65</f>
        <v>470.74545454545455</v>
      </c>
      <c r="I65" s="55">
        <f t="shared" ref="I65" si="4">F65*H65</f>
        <v>10356.4</v>
      </c>
      <c r="J65" s="13" t="s">
        <v>120</v>
      </c>
      <c r="L65" s="2"/>
    </row>
    <row r="66" spans="1:12" ht="32.25" x14ac:dyDescent="0.3">
      <c r="A66" s="6" t="s">
        <v>59</v>
      </c>
      <c r="B66" s="8"/>
      <c r="C66" s="4"/>
      <c r="D66" s="15" t="s">
        <v>47</v>
      </c>
      <c r="E66" s="41" t="s">
        <v>141</v>
      </c>
      <c r="F66" s="41" t="s">
        <v>141</v>
      </c>
      <c r="G66" s="14" t="s">
        <v>53</v>
      </c>
      <c r="H66" s="41"/>
      <c r="I66" s="41" t="s">
        <v>141</v>
      </c>
      <c r="J66" s="5"/>
      <c r="L66" s="2"/>
    </row>
    <row r="67" spans="1:12" ht="83.25" customHeight="1" x14ac:dyDescent="0.3">
      <c r="A67" s="6"/>
      <c r="B67" s="8"/>
      <c r="C67" s="4"/>
      <c r="D67" s="15" t="s">
        <v>223</v>
      </c>
      <c r="E67" s="41"/>
      <c r="F67" s="41">
        <v>7.5</v>
      </c>
      <c r="G67" s="14" t="s">
        <v>115</v>
      </c>
      <c r="H67" s="47">
        <f>35869/F67</f>
        <v>4782.5333333333338</v>
      </c>
      <c r="I67" s="55">
        <f>F67*H67</f>
        <v>35869</v>
      </c>
      <c r="J67" s="13" t="s">
        <v>120</v>
      </c>
      <c r="L67" s="2"/>
    </row>
    <row r="68" spans="1:12" ht="59.25" customHeight="1" x14ac:dyDescent="0.3">
      <c r="A68" s="6"/>
      <c r="B68" s="8"/>
      <c r="C68" s="4"/>
      <c r="D68" s="15" t="s">
        <v>226</v>
      </c>
      <c r="E68" s="41"/>
      <c r="F68" s="41">
        <v>1267</v>
      </c>
      <c r="G68" s="14" t="s">
        <v>115</v>
      </c>
      <c r="H68" s="47">
        <f>231183.8/F68</f>
        <v>182.46550907655879</v>
      </c>
      <c r="I68" s="55">
        <f>F68*H68</f>
        <v>231183.8</v>
      </c>
      <c r="J68" s="13" t="s">
        <v>122</v>
      </c>
      <c r="L68" s="2"/>
    </row>
    <row r="69" spans="1:12" ht="40.5" customHeight="1" x14ac:dyDescent="0.3">
      <c r="A69" s="6"/>
      <c r="B69" s="8"/>
      <c r="C69" s="4"/>
      <c r="D69" s="15" t="s">
        <v>227</v>
      </c>
      <c r="E69" s="41"/>
      <c r="F69" s="41">
        <f>2534</f>
        <v>2534</v>
      </c>
      <c r="G69" s="14" t="s">
        <v>115</v>
      </c>
      <c r="H69" s="47">
        <f>1544752.2/F69</f>
        <v>609.61018153117595</v>
      </c>
      <c r="I69" s="55">
        <f>F69*H69</f>
        <v>1544752.2</v>
      </c>
      <c r="J69" s="13" t="s">
        <v>122</v>
      </c>
      <c r="L69" s="2"/>
    </row>
    <row r="70" spans="1:12" ht="83.25" customHeight="1" x14ac:dyDescent="0.3">
      <c r="A70" s="6"/>
      <c r="B70" s="8"/>
      <c r="C70" s="4"/>
      <c r="D70" s="15" t="s">
        <v>228</v>
      </c>
      <c r="E70" s="41"/>
      <c r="F70" s="41">
        <v>16.32</v>
      </c>
      <c r="G70" s="14" t="s">
        <v>115</v>
      </c>
      <c r="H70" s="47">
        <f>5949.6/F70</f>
        <v>364.55882352941177</v>
      </c>
      <c r="I70" s="55">
        <f>F70*H70</f>
        <v>5949.6</v>
      </c>
      <c r="J70" s="13" t="s">
        <v>122</v>
      </c>
      <c r="L70" s="2"/>
    </row>
    <row r="71" spans="1:12" ht="18.75" x14ac:dyDescent="0.3">
      <c r="A71" s="6" t="s">
        <v>61</v>
      </c>
      <c r="B71" s="5"/>
      <c r="C71" s="4"/>
      <c r="D71" s="15" t="s">
        <v>51</v>
      </c>
      <c r="E71" s="41" t="s">
        <v>141</v>
      </c>
      <c r="F71" s="41" t="s">
        <v>141</v>
      </c>
      <c r="G71" s="14" t="s">
        <v>53</v>
      </c>
      <c r="H71" s="41"/>
      <c r="I71" s="41" t="s">
        <v>141</v>
      </c>
      <c r="J71" s="5"/>
      <c r="L71" s="2"/>
    </row>
    <row r="72" spans="1:12" ht="18.75" x14ac:dyDescent="0.3">
      <c r="A72" s="6"/>
      <c r="B72" s="5"/>
      <c r="C72" s="4"/>
      <c r="D72" s="15" t="s">
        <v>229</v>
      </c>
      <c r="E72" s="41"/>
      <c r="F72" s="41">
        <v>8.32</v>
      </c>
      <c r="G72" s="14" t="s">
        <v>158</v>
      </c>
      <c r="H72" s="47">
        <f>1293.2/F72</f>
        <v>155.43269230769232</v>
      </c>
      <c r="I72" s="55">
        <f>F72*H72</f>
        <v>1293.2</v>
      </c>
      <c r="J72" s="13" t="s">
        <v>122</v>
      </c>
      <c r="L72" s="2"/>
    </row>
    <row r="73" spans="1:12" ht="32.25" x14ac:dyDescent="0.3">
      <c r="A73" s="6"/>
      <c r="B73" s="5"/>
      <c r="C73" s="4"/>
      <c r="D73" s="15" t="s">
        <v>230</v>
      </c>
      <c r="E73" s="41"/>
      <c r="F73" s="41">
        <f>4</f>
        <v>4</v>
      </c>
      <c r="G73" s="14" t="s">
        <v>231</v>
      </c>
      <c r="H73" s="41">
        <f>1220.6/F73</f>
        <v>305.14999999999998</v>
      </c>
      <c r="I73" s="55">
        <f>F73*H73</f>
        <v>1220.5999999999999</v>
      </c>
      <c r="J73" s="13" t="s">
        <v>122</v>
      </c>
      <c r="L73" s="2"/>
    </row>
    <row r="74" spans="1:12" ht="54.75" customHeight="1" x14ac:dyDescent="0.3">
      <c r="A74" s="6"/>
      <c r="B74" s="5"/>
      <c r="C74" s="4"/>
      <c r="D74" s="15" t="s">
        <v>234</v>
      </c>
      <c r="E74" s="41"/>
      <c r="F74" s="41">
        <f>16.32</f>
        <v>16.32</v>
      </c>
      <c r="G74" s="14" t="s">
        <v>115</v>
      </c>
      <c r="H74" s="47">
        <f>3987/F74</f>
        <v>244.30147058823528</v>
      </c>
      <c r="I74" s="55">
        <f>F74*H74</f>
        <v>3986.9999999999995</v>
      </c>
      <c r="J74" s="13" t="s">
        <v>122</v>
      </c>
      <c r="L74" s="2"/>
    </row>
    <row r="75" spans="1:12" ht="54.75" customHeight="1" x14ac:dyDescent="0.3">
      <c r="A75" s="6"/>
      <c r="B75" s="5"/>
      <c r="C75" s="4"/>
      <c r="D75" s="15" t="s">
        <v>247</v>
      </c>
      <c r="E75" s="41"/>
      <c r="F75" s="41">
        <f>45.9</f>
        <v>45.9</v>
      </c>
      <c r="G75" s="14" t="s">
        <v>115</v>
      </c>
      <c r="H75" s="47">
        <f>36966/F75</f>
        <v>805.35947712418306</v>
      </c>
      <c r="I75" s="55">
        <f>F75*H75</f>
        <v>36966</v>
      </c>
      <c r="J75" s="13" t="s">
        <v>122</v>
      </c>
      <c r="L75" s="2"/>
    </row>
    <row r="76" spans="1:12" ht="32.25" x14ac:dyDescent="0.3">
      <c r="A76" s="6" t="s">
        <v>62</v>
      </c>
      <c r="B76" s="5"/>
      <c r="C76" s="4"/>
      <c r="D76" s="15" t="s">
        <v>64</v>
      </c>
      <c r="E76" s="41" t="s">
        <v>141</v>
      </c>
      <c r="F76" s="41" t="s">
        <v>141</v>
      </c>
      <c r="G76" s="13" t="s">
        <v>30</v>
      </c>
      <c r="H76" s="41"/>
      <c r="I76" s="41" t="s">
        <v>141</v>
      </c>
      <c r="J76" s="5"/>
      <c r="L76" s="2"/>
    </row>
    <row r="77" spans="1:12" ht="32.25" x14ac:dyDescent="0.3">
      <c r="A77" s="6"/>
      <c r="B77" s="5"/>
      <c r="C77" s="4"/>
      <c r="D77" s="15" t="s">
        <v>243</v>
      </c>
      <c r="E77" s="41"/>
      <c r="F77" s="41">
        <f>1</f>
        <v>1</v>
      </c>
      <c r="G77" s="13" t="s">
        <v>246</v>
      </c>
      <c r="H77" s="41">
        <f>7856.4/F77</f>
        <v>7856.4</v>
      </c>
      <c r="I77" s="55">
        <f>F77*H77</f>
        <v>7856.4</v>
      </c>
      <c r="J77" s="13" t="s">
        <v>122</v>
      </c>
      <c r="L77" s="2"/>
    </row>
    <row r="78" spans="1:12" ht="48" x14ac:dyDescent="0.3">
      <c r="A78" s="6"/>
      <c r="B78" s="5"/>
      <c r="C78" s="4"/>
      <c r="D78" s="15" t="s">
        <v>244</v>
      </c>
      <c r="E78" s="41"/>
      <c r="F78" s="41">
        <f>4</f>
        <v>4</v>
      </c>
      <c r="G78" s="13" t="s">
        <v>246</v>
      </c>
      <c r="H78" s="41">
        <f>1957.6/F78</f>
        <v>489.4</v>
      </c>
      <c r="I78" s="55">
        <f t="shared" ref="I78:I79" si="5">F78*H78</f>
        <v>1957.6</v>
      </c>
      <c r="J78" s="13" t="s">
        <v>122</v>
      </c>
      <c r="L78" s="2"/>
    </row>
    <row r="79" spans="1:12" ht="32.25" x14ac:dyDescent="0.3">
      <c r="A79" s="6"/>
      <c r="B79" s="5"/>
      <c r="C79" s="4"/>
      <c r="D79" s="15" t="s">
        <v>245</v>
      </c>
      <c r="E79" s="41"/>
      <c r="F79" s="41">
        <f>4</f>
        <v>4</v>
      </c>
      <c r="G79" s="13" t="s">
        <v>246</v>
      </c>
      <c r="H79" s="41">
        <f>3804.6/F79</f>
        <v>951.15</v>
      </c>
      <c r="I79" s="55">
        <f t="shared" si="5"/>
        <v>3804.6</v>
      </c>
      <c r="J79" s="13" t="s">
        <v>122</v>
      </c>
      <c r="L79" s="2"/>
    </row>
    <row r="80" spans="1:12" ht="51.75" customHeight="1" x14ac:dyDescent="0.3">
      <c r="A80" s="6" t="s">
        <v>58</v>
      </c>
      <c r="B80" s="8"/>
      <c r="C80" s="4"/>
      <c r="D80" s="15" t="s">
        <v>232</v>
      </c>
      <c r="E80" s="41" t="s">
        <v>141</v>
      </c>
      <c r="F80" s="41">
        <v>266.39999999999998</v>
      </c>
      <c r="G80" s="14" t="s">
        <v>115</v>
      </c>
      <c r="H80" s="47">
        <f>48609/F80</f>
        <v>182.46621621621622</v>
      </c>
      <c r="I80" s="55">
        <f>F80*H80</f>
        <v>48609</v>
      </c>
      <c r="J80" s="13" t="s">
        <v>122</v>
      </c>
      <c r="L80" s="2"/>
    </row>
    <row r="81" spans="1:12" ht="51.75" customHeight="1" x14ac:dyDescent="0.3">
      <c r="A81" s="6"/>
      <c r="B81" s="8"/>
      <c r="C81" s="4"/>
      <c r="D81" s="15" t="s">
        <v>225</v>
      </c>
      <c r="E81" s="41"/>
      <c r="F81" s="41">
        <v>888</v>
      </c>
      <c r="G81" s="14" t="s">
        <v>115</v>
      </c>
      <c r="H81" s="47">
        <f>742428/F81</f>
        <v>836.06756756756761</v>
      </c>
      <c r="I81" s="55">
        <f>F81*H81</f>
        <v>742428</v>
      </c>
      <c r="J81" s="13" t="s">
        <v>122</v>
      </c>
      <c r="L81" s="2"/>
    </row>
    <row r="82" spans="1:12" ht="18.75" x14ac:dyDescent="0.3">
      <c r="A82" s="6"/>
      <c r="B82" s="8"/>
      <c r="C82" s="4"/>
      <c r="D82" s="4" t="s">
        <v>221</v>
      </c>
      <c r="E82" s="41"/>
      <c r="F82" s="41">
        <f>50.2</f>
        <v>50.2</v>
      </c>
      <c r="G82" s="14" t="s">
        <v>115</v>
      </c>
      <c r="H82" s="47">
        <f>35062.8/F82</f>
        <v>698.46215139442234</v>
      </c>
      <c r="I82" s="55">
        <f>F82*H82</f>
        <v>35062.800000000003</v>
      </c>
      <c r="J82" s="13" t="s">
        <v>122</v>
      </c>
      <c r="L82" s="2"/>
    </row>
    <row r="83" spans="1:12" ht="36.75" customHeight="1" x14ac:dyDescent="0.3">
      <c r="A83" s="6"/>
      <c r="B83" s="8"/>
      <c r="C83" s="4"/>
      <c r="D83" s="15" t="s">
        <v>222</v>
      </c>
      <c r="E83" s="41"/>
      <c r="F83" s="41">
        <v>50.2</v>
      </c>
      <c r="G83" s="14" t="s">
        <v>115</v>
      </c>
      <c r="H83" s="47">
        <f>309471/F83</f>
        <v>6164.7609561752988</v>
      </c>
      <c r="I83" s="55">
        <f>F83*H83</f>
        <v>309471</v>
      </c>
      <c r="J83" s="13" t="s">
        <v>122</v>
      </c>
      <c r="L83" s="2"/>
    </row>
    <row r="84" spans="1:12" ht="51.75" customHeight="1" x14ac:dyDescent="0.3">
      <c r="A84" s="6"/>
      <c r="B84" s="8"/>
      <c r="C84" s="4"/>
      <c r="D84" s="15" t="s">
        <v>224</v>
      </c>
      <c r="E84" s="41"/>
      <c r="F84" s="41">
        <f>125.39</f>
        <v>125.39</v>
      </c>
      <c r="G84" s="14" t="s">
        <v>115</v>
      </c>
      <c r="H84" s="47">
        <f>59007.2/F84</f>
        <v>470.58936119307759</v>
      </c>
      <c r="I84" s="55">
        <f>F84*H84</f>
        <v>59007.199999999997</v>
      </c>
      <c r="J84" s="13" t="s">
        <v>122</v>
      </c>
      <c r="L84" s="2"/>
    </row>
    <row r="85" spans="1:12" ht="24" customHeight="1" x14ac:dyDescent="0.3">
      <c r="A85" s="6" t="s">
        <v>60</v>
      </c>
      <c r="B85" s="8"/>
      <c r="C85" s="4"/>
      <c r="D85" s="4" t="s">
        <v>48</v>
      </c>
      <c r="E85" s="41" t="s">
        <v>141</v>
      </c>
      <c r="F85" s="41" t="s">
        <v>141</v>
      </c>
      <c r="G85" s="14" t="s">
        <v>53</v>
      </c>
      <c r="H85" s="41"/>
      <c r="I85" s="41" t="s">
        <v>141</v>
      </c>
      <c r="J85" s="5"/>
      <c r="L85" s="2"/>
    </row>
    <row r="86" spans="1:12" ht="18.75" x14ac:dyDescent="0.3">
      <c r="A86" s="6" t="s">
        <v>65</v>
      </c>
      <c r="B86" s="5"/>
      <c r="C86" s="4"/>
      <c r="D86" s="4" t="s">
        <v>92</v>
      </c>
      <c r="E86" s="41" t="s">
        <v>141</v>
      </c>
      <c r="F86" s="41" t="s">
        <v>141</v>
      </c>
      <c r="G86" s="14" t="s">
        <v>54</v>
      </c>
      <c r="H86" s="41"/>
      <c r="I86" s="41" t="s">
        <v>141</v>
      </c>
      <c r="J86" s="5"/>
      <c r="L86" s="2"/>
    </row>
    <row r="87" spans="1:12" ht="18.75" x14ac:dyDescent="0.3">
      <c r="A87" s="6"/>
      <c r="B87" s="5"/>
      <c r="C87" s="5"/>
      <c r="D87" s="5" t="s">
        <v>201</v>
      </c>
      <c r="E87" s="63"/>
      <c r="F87" s="63">
        <f>30</f>
        <v>30</v>
      </c>
      <c r="G87" s="14" t="s">
        <v>31</v>
      </c>
      <c r="H87" s="66">
        <f>28823/F87</f>
        <v>960.76666666666665</v>
      </c>
      <c r="I87" s="67">
        <f>F87*H87</f>
        <v>28823</v>
      </c>
      <c r="J87" s="13" t="s">
        <v>122</v>
      </c>
      <c r="L87" s="2"/>
    </row>
    <row r="88" spans="1:12" ht="18.75" x14ac:dyDescent="0.3">
      <c r="A88" s="28"/>
      <c r="B88" s="22"/>
      <c r="C88" s="22"/>
      <c r="D88" s="22"/>
      <c r="E88" s="44"/>
      <c r="F88" s="44"/>
      <c r="G88" s="12"/>
      <c r="H88" s="41"/>
      <c r="I88" s="41">
        <f>SUM(I39:I86)</f>
        <v>3768157.4000000008</v>
      </c>
      <c r="J88" s="5"/>
      <c r="L88" s="2"/>
    </row>
    <row r="89" spans="1:12" ht="18.75" x14ac:dyDescent="0.3">
      <c r="A89" s="79" t="s">
        <v>67</v>
      </c>
      <c r="B89" s="80"/>
      <c r="C89" s="80"/>
      <c r="D89" s="80"/>
      <c r="E89" s="80"/>
      <c r="F89" s="80"/>
      <c r="G89" s="81"/>
      <c r="H89" s="18"/>
      <c r="I89" s="5"/>
      <c r="J89" s="5"/>
      <c r="L89" s="2"/>
    </row>
    <row r="90" spans="1:12" ht="37.5" x14ac:dyDescent="0.25">
      <c r="A90" s="9" t="s">
        <v>29</v>
      </c>
      <c r="B90" s="8"/>
      <c r="C90" s="4"/>
      <c r="D90" s="15" t="s">
        <v>147</v>
      </c>
      <c r="E90" s="41" t="s">
        <v>141</v>
      </c>
      <c r="F90" s="41"/>
      <c r="G90" s="13" t="s">
        <v>54</v>
      </c>
      <c r="H90" s="41"/>
      <c r="I90" s="41"/>
      <c r="J90" s="13"/>
      <c r="L90" s="2"/>
    </row>
    <row r="91" spans="1:12" ht="31.5" x14ac:dyDescent="0.25">
      <c r="A91" s="9"/>
      <c r="B91" s="8"/>
      <c r="C91" s="4"/>
      <c r="D91" s="15" t="s">
        <v>177</v>
      </c>
      <c r="E91" s="41"/>
      <c r="F91" s="41">
        <f>4+4</f>
        <v>8</v>
      </c>
      <c r="G91" s="13" t="s">
        <v>31</v>
      </c>
      <c r="H91" s="47">
        <f>(692.2+692.2)/F91</f>
        <v>173.05</v>
      </c>
      <c r="I91" s="41">
        <f>F91*H91</f>
        <v>1384.4</v>
      </c>
      <c r="J91" s="13" t="s">
        <v>122</v>
      </c>
      <c r="L91" s="2"/>
    </row>
    <row r="92" spans="1:12" ht="48.75" customHeight="1" x14ac:dyDescent="0.25">
      <c r="A92" s="9"/>
      <c r="B92" s="8"/>
      <c r="C92" s="4"/>
      <c r="D92" s="15" t="s">
        <v>235</v>
      </c>
      <c r="E92" s="41"/>
      <c r="F92" s="41">
        <f>8.81</f>
        <v>8.81</v>
      </c>
      <c r="G92" s="13" t="s">
        <v>115</v>
      </c>
      <c r="H92" s="47">
        <f>6666.4/F92</f>
        <v>756.6855845629965</v>
      </c>
      <c r="I92" s="55">
        <f>F92*H92</f>
        <v>6666.4</v>
      </c>
      <c r="J92" s="13" t="s">
        <v>122</v>
      </c>
      <c r="L92" s="2"/>
    </row>
    <row r="93" spans="1:12" ht="48.75" customHeight="1" x14ac:dyDescent="0.25">
      <c r="A93" s="9"/>
      <c r="B93" s="8"/>
      <c r="C93" s="4"/>
      <c r="D93" s="15" t="s">
        <v>236</v>
      </c>
      <c r="E93" s="41"/>
      <c r="F93" s="41">
        <v>11.7</v>
      </c>
      <c r="G93" s="13" t="s">
        <v>115</v>
      </c>
      <c r="H93" s="47">
        <f>7853.2/F93</f>
        <v>671.21367521367529</v>
      </c>
      <c r="I93" s="55">
        <f>F93*H93</f>
        <v>7853.2000000000007</v>
      </c>
      <c r="J93" s="13" t="s">
        <v>122</v>
      </c>
      <c r="L93" s="2"/>
    </row>
    <row r="94" spans="1:12" ht="46.5" customHeight="1" x14ac:dyDescent="0.25">
      <c r="A94" s="9" t="s">
        <v>91</v>
      </c>
      <c r="B94" s="8"/>
      <c r="C94" s="4"/>
      <c r="D94" s="42" t="s">
        <v>127</v>
      </c>
      <c r="E94" s="32"/>
      <c r="F94" s="13">
        <f>2170</f>
        <v>2170</v>
      </c>
      <c r="G94" s="13" t="s">
        <v>115</v>
      </c>
      <c r="H94" s="33">
        <f>(10157.8+10157.8+10157.8+10224.2+10221.2+10221.2+10618.4+10618.4+10618.4+10757.2+10757.2+10757.2)/F94</f>
        <v>57.726635944700448</v>
      </c>
      <c r="I94" s="33">
        <f t="shared" ref="I94:I97" si="6">F94*H94</f>
        <v>125266.79999999997</v>
      </c>
      <c r="J94" s="13" t="s">
        <v>118</v>
      </c>
      <c r="L94" s="2"/>
    </row>
    <row r="95" spans="1:12" ht="46.5" customHeight="1" x14ac:dyDescent="0.25">
      <c r="A95" s="9"/>
      <c r="B95" s="8"/>
      <c r="C95" s="4"/>
      <c r="D95" s="15" t="s">
        <v>112</v>
      </c>
      <c r="E95" s="32"/>
      <c r="F95" s="13">
        <f>3799</f>
        <v>3799</v>
      </c>
      <c r="G95" s="13" t="s">
        <v>30</v>
      </c>
      <c r="H95" s="33">
        <f>347070/F95</f>
        <v>91.358252171624116</v>
      </c>
      <c r="I95" s="33">
        <f t="shared" si="6"/>
        <v>347070</v>
      </c>
      <c r="J95" s="13" t="s">
        <v>120</v>
      </c>
      <c r="L95" s="2"/>
    </row>
    <row r="96" spans="1:12" ht="46.5" customHeight="1" x14ac:dyDescent="0.25">
      <c r="A96" s="9"/>
      <c r="B96" s="8"/>
      <c r="C96" s="4"/>
      <c r="D96" s="15" t="s">
        <v>113</v>
      </c>
      <c r="E96" s="41"/>
      <c r="F96" s="41">
        <f>119</f>
        <v>119</v>
      </c>
      <c r="G96" s="13" t="s">
        <v>30</v>
      </c>
      <c r="H96" s="47">
        <f>10986.8/F96</f>
        <v>92.326050420168059</v>
      </c>
      <c r="I96" s="41">
        <f t="shared" si="6"/>
        <v>10986.8</v>
      </c>
      <c r="J96" s="13" t="s">
        <v>120</v>
      </c>
      <c r="L96" s="2"/>
    </row>
    <row r="97" spans="1:12" ht="46.5" customHeight="1" x14ac:dyDescent="0.25">
      <c r="A97" s="9"/>
      <c r="B97" s="8"/>
      <c r="C97" s="4"/>
      <c r="D97" s="15" t="s">
        <v>145</v>
      </c>
      <c r="E97" s="41"/>
      <c r="F97" s="41">
        <f>166</f>
        <v>166</v>
      </c>
      <c r="G97" s="13" t="s">
        <v>30</v>
      </c>
      <c r="H97" s="47">
        <f>(16030)/F97</f>
        <v>96.566265060240966</v>
      </c>
      <c r="I97" s="41">
        <f t="shared" si="6"/>
        <v>16030</v>
      </c>
      <c r="J97" s="13" t="s">
        <v>120</v>
      </c>
      <c r="L97" s="2"/>
    </row>
    <row r="98" spans="1:12" ht="46.5" customHeight="1" x14ac:dyDescent="0.25">
      <c r="A98" s="9"/>
      <c r="B98" s="8"/>
      <c r="C98" s="4"/>
      <c r="D98" s="15" t="s">
        <v>166</v>
      </c>
      <c r="E98" s="41"/>
      <c r="F98" s="41"/>
      <c r="G98" s="13" t="s">
        <v>31</v>
      </c>
      <c r="H98" s="41"/>
      <c r="I98" s="41"/>
      <c r="J98" s="13"/>
      <c r="L98" s="2"/>
    </row>
    <row r="99" spans="1:12" ht="46.5" customHeight="1" x14ac:dyDescent="0.25">
      <c r="A99" s="9"/>
      <c r="B99" s="8"/>
      <c r="C99" s="4"/>
      <c r="D99" s="42" t="s">
        <v>114</v>
      </c>
      <c r="E99" s="41"/>
      <c r="F99" s="41"/>
      <c r="G99" s="13" t="s">
        <v>146</v>
      </c>
      <c r="H99" s="41"/>
      <c r="I99" s="41"/>
      <c r="J99" s="13"/>
      <c r="L99" s="2"/>
    </row>
    <row r="100" spans="1:12" ht="46.5" customHeight="1" x14ac:dyDescent="0.25">
      <c r="A100" s="9"/>
      <c r="B100" s="8"/>
      <c r="C100" s="4"/>
      <c r="D100" s="42" t="s">
        <v>169</v>
      </c>
      <c r="E100" s="41"/>
      <c r="F100" s="41"/>
      <c r="G100" s="13" t="s">
        <v>31</v>
      </c>
      <c r="H100" s="41"/>
      <c r="I100" s="55"/>
      <c r="J100" s="13"/>
      <c r="L100" s="2"/>
    </row>
    <row r="101" spans="1:12" ht="46.5" customHeight="1" x14ac:dyDescent="0.25">
      <c r="A101" s="9"/>
      <c r="B101" s="8"/>
      <c r="C101" s="4"/>
      <c r="D101" s="15" t="s">
        <v>170</v>
      </c>
      <c r="E101" s="32"/>
      <c r="F101" s="13"/>
      <c r="G101" s="13" t="s">
        <v>31</v>
      </c>
      <c r="H101" s="13"/>
      <c r="I101" s="57"/>
      <c r="J101" s="13"/>
      <c r="L101" s="2"/>
    </row>
    <row r="102" spans="1:12" ht="46.5" customHeight="1" x14ac:dyDescent="0.25">
      <c r="A102" s="9"/>
      <c r="B102" s="8"/>
      <c r="C102" s="4"/>
      <c r="D102" s="15" t="s">
        <v>173</v>
      </c>
      <c r="E102" s="32"/>
      <c r="F102" s="31"/>
      <c r="G102" s="13" t="s">
        <v>31</v>
      </c>
      <c r="H102" s="31"/>
      <c r="I102" s="56"/>
      <c r="J102" s="13"/>
      <c r="L102" s="2"/>
    </row>
    <row r="103" spans="1:12" ht="18.75" x14ac:dyDescent="0.25">
      <c r="A103" s="9" t="s">
        <v>82</v>
      </c>
      <c r="B103" s="8"/>
      <c r="C103" s="4"/>
      <c r="D103" s="15" t="s">
        <v>149</v>
      </c>
      <c r="E103" s="41"/>
      <c r="F103" s="41"/>
      <c r="G103" s="13" t="s">
        <v>54</v>
      </c>
      <c r="H103" s="41"/>
      <c r="I103" s="41"/>
      <c r="J103" s="13"/>
      <c r="L103" s="2"/>
    </row>
    <row r="104" spans="1:12" ht="18.75" x14ac:dyDescent="0.25">
      <c r="A104" s="9"/>
      <c r="B104" s="8"/>
      <c r="C104" s="4"/>
      <c r="D104" s="15" t="s">
        <v>134</v>
      </c>
      <c r="E104" s="32"/>
      <c r="F104" s="13"/>
      <c r="G104" s="13" t="s">
        <v>31</v>
      </c>
      <c r="H104" s="33"/>
      <c r="I104" s="57"/>
      <c r="J104" s="13"/>
      <c r="L104" s="2"/>
    </row>
    <row r="105" spans="1:12" ht="18.75" x14ac:dyDescent="0.25">
      <c r="A105" s="9" t="s">
        <v>20</v>
      </c>
      <c r="B105" s="8"/>
      <c r="C105" s="4"/>
      <c r="D105" s="15" t="s">
        <v>68</v>
      </c>
      <c r="E105" s="41" t="s">
        <v>141</v>
      </c>
      <c r="F105" s="41" t="s">
        <v>141</v>
      </c>
      <c r="G105" s="13" t="s">
        <v>30</v>
      </c>
      <c r="H105" s="41"/>
      <c r="I105" s="41" t="s">
        <v>141</v>
      </c>
      <c r="J105" s="13"/>
      <c r="L105" s="2"/>
    </row>
    <row r="106" spans="1:12" ht="31.5" x14ac:dyDescent="0.25">
      <c r="A106" s="9" t="s">
        <v>21</v>
      </c>
      <c r="B106" s="8"/>
      <c r="C106" s="4"/>
      <c r="D106" s="15" t="s">
        <v>70</v>
      </c>
      <c r="E106" s="41" t="s">
        <v>141</v>
      </c>
      <c r="F106" s="41" t="s">
        <v>141</v>
      </c>
      <c r="G106" s="13" t="s">
        <v>54</v>
      </c>
      <c r="H106" s="41"/>
      <c r="I106" s="41" t="s">
        <v>141</v>
      </c>
      <c r="J106" s="13"/>
      <c r="L106" s="2"/>
    </row>
    <row r="107" spans="1:12" ht="18.75" x14ac:dyDescent="0.25">
      <c r="A107" s="45"/>
      <c r="B107" s="46"/>
      <c r="C107" s="22"/>
      <c r="D107" s="30"/>
      <c r="E107" s="44"/>
      <c r="F107" s="44"/>
      <c r="G107" s="31"/>
      <c r="H107" s="41"/>
      <c r="I107" s="47">
        <f>SUM(I90:I106)</f>
        <v>515257.59999999998</v>
      </c>
      <c r="J107" s="13"/>
      <c r="L107" s="2"/>
    </row>
    <row r="108" spans="1:12" ht="18.75" x14ac:dyDescent="0.3">
      <c r="A108" s="75" t="s">
        <v>71</v>
      </c>
      <c r="B108" s="76"/>
      <c r="C108" s="76"/>
      <c r="D108" s="76"/>
      <c r="E108" s="76"/>
      <c r="F108" s="76"/>
      <c r="G108" s="77"/>
      <c r="H108" s="19"/>
      <c r="I108" s="5"/>
      <c r="J108" s="5"/>
      <c r="L108" s="2"/>
    </row>
    <row r="109" spans="1:12" ht="37.5" x14ac:dyDescent="0.25">
      <c r="A109" s="9" t="s">
        <v>91</v>
      </c>
      <c r="B109" s="8"/>
      <c r="C109" s="4"/>
      <c r="D109" s="4" t="s">
        <v>129</v>
      </c>
      <c r="E109" s="31"/>
      <c r="F109" s="13">
        <f>8+6+4+5+2+14+6+3+80+6+4+8</f>
        <v>146</v>
      </c>
      <c r="G109" s="13" t="s">
        <v>117</v>
      </c>
      <c r="H109" s="33">
        <f>(5618+4212.2+2808.4+3533.4+1412.8+9892.4+4405.2+2202+58723.4+4459.4+2972.8+5948.8)/F109/3</f>
        <v>242.44018264840179</v>
      </c>
      <c r="I109" s="33">
        <f>F109*H109</f>
        <v>35396.266666666663</v>
      </c>
      <c r="J109" s="13" t="s">
        <v>118</v>
      </c>
      <c r="L109" s="2"/>
    </row>
    <row r="110" spans="1:12" ht="47.25" x14ac:dyDescent="0.25">
      <c r="A110" s="9"/>
      <c r="B110" s="8"/>
      <c r="C110" s="4"/>
      <c r="D110" s="15" t="s">
        <v>181</v>
      </c>
      <c r="E110" s="41"/>
      <c r="F110" s="41">
        <f>2</f>
        <v>2</v>
      </c>
      <c r="G110" s="13" t="s">
        <v>31</v>
      </c>
      <c r="H110" s="47">
        <f>14702.8/F110</f>
        <v>7351.4</v>
      </c>
      <c r="I110" s="55">
        <f>F110*H110</f>
        <v>14702.8</v>
      </c>
      <c r="J110" s="13" t="s">
        <v>122</v>
      </c>
      <c r="L110" s="2"/>
    </row>
    <row r="111" spans="1:12" ht="47.25" x14ac:dyDescent="0.25">
      <c r="A111" s="9"/>
      <c r="B111" s="8"/>
      <c r="C111" s="4"/>
      <c r="D111" s="15" t="s">
        <v>197</v>
      </c>
      <c r="E111" s="41"/>
      <c r="F111" s="41">
        <f>2</f>
        <v>2</v>
      </c>
      <c r="G111" s="13" t="s">
        <v>31</v>
      </c>
      <c r="H111" s="47">
        <f>15041.6/F111</f>
        <v>7520.8</v>
      </c>
      <c r="I111" s="55">
        <f>F111*H111</f>
        <v>15041.6</v>
      </c>
      <c r="J111" s="13" t="s">
        <v>122</v>
      </c>
      <c r="L111" s="2"/>
    </row>
    <row r="112" spans="1:12" ht="31.5" x14ac:dyDescent="0.25">
      <c r="A112" s="9"/>
      <c r="B112" s="8"/>
      <c r="C112" s="4"/>
      <c r="D112" s="15" t="s">
        <v>150</v>
      </c>
      <c r="E112" s="31"/>
      <c r="F112" s="13"/>
      <c r="G112" s="13" t="s">
        <v>30</v>
      </c>
      <c r="H112" s="13"/>
      <c r="I112" s="13"/>
      <c r="J112" s="13"/>
      <c r="L112" s="2"/>
    </row>
    <row r="113" spans="1:12" ht="31.5" x14ac:dyDescent="0.25">
      <c r="A113" s="9"/>
      <c r="B113" s="8"/>
      <c r="C113" s="4"/>
      <c r="D113" s="15" t="s">
        <v>182</v>
      </c>
      <c r="E113" s="31"/>
      <c r="F113" s="13">
        <v>1</v>
      </c>
      <c r="G113" s="13" t="s">
        <v>30</v>
      </c>
      <c r="H113" s="13">
        <f>1362.6</f>
        <v>1362.6</v>
      </c>
      <c r="I113" s="57">
        <f t="shared" ref="I113" si="7">F113*H113</f>
        <v>1362.6</v>
      </c>
      <c r="J113" s="13" t="s">
        <v>118</v>
      </c>
      <c r="L113" s="2"/>
    </row>
    <row r="114" spans="1:12" ht="31.5" x14ac:dyDescent="0.25">
      <c r="A114" s="9"/>
      <c r="B114" s="8"/>
      <c r="C114" s="4"/>
      <c r="D114" s="15" t="s">
        <v>150</v>
      </c>
      <c r="E114" s="31"/>
      <c r="F114" s="13"/>
      <c r="G114" s="13" t="s">
        <v>30</v>
      </c>
      <c r="H114" s="13"/>
      <c r="I114" s="13"/>
      <c r="J114" s="13"/>
      <c r="L114" s="2"/>
    </row>
    <row r="115" spans="1:12" ht="31.5" x14ac:dyDescent="0.25">
      <c r="A115" s="9"/>
      <c r="B115" s="8"/>
      <c r="C115" s="4"/>
      <c r="D115" s="15" t="s">
        <v>166</v>
      </c>
      <c r="E115" s="41"/>
      <c r="F115" s="41">
        <f>1+1+2</f>
        <v>4</v>
      </c>
      <c r="G115" s="13" t="s">
        <v>31</v>
      </c>
      <c r="H115" s="41">
        <f>(1452.8+3049.2)/F115</f>
        <v>1125.5</v>
      </c>
      <c r="I115" s="41">
        <f>F115*H115</f>
        <v>4502</v>
      </c>
      <c r="J115" s="13" t="s">
        <v>122</v>
      </c>
      <c r="L115" s="2"/>
    </row>
    <row r="116" spans="1:12" ht="18.75" x14ac:dyDescent="0.25">
      <c r="A116" s="9"/>
      <c r="B116" s="8"/>
      <c r="C116" s="4"/>
      <c r="D116" s="15" t="s">
        <v>174</v>
      </c>
      <c r="E116" s="31"/>
      <c r="F116" s="31"/>
      <c r="G116" s="13" t="s">
        <v>31</v>
      </c>
      <c r="H116" s="31"/>
      <c r="I116" s="56"/>
      <c r="J116" s="13"/>
      <c r="L116" s="2"/>
    </row>
    <row r="117" spans="1:12" ht="18.75" x14ac:dyDescent="0.25">
      <c r="A117" s="9" t="s">
        <v>82</v>
      </c>
      <c r="B117" s="8"/>
      <c r="C117" s="4"/>
      <c r="D117" s="15" t="s">
        <v>69</v>
      </c>
      <c r="E117" s="41"/>
      <c r="F117" s="41"/>
      <c r="G117" s="13" t="s">
        <v>54</v>
      </c>
      <c r="H117" s="41"/>
      <c r="I117" s="41" t="s">
        <v>141</v>
      </c>
      <c r="J117" s="5"/>
      <c r="L117" s="2"/>
    </row>
    <row r="118" spans="1:12" ht="18.75" x14ac:dyDescent="0.25">
      <c r="A118" s="9"/>
      <c r="B118" s="8"/>
      <c r="C118" s="4"/>
      <c r="D118" s="15" t="s">
        <v>196</v>
      </c>
      <c r="E118" s="41"/>
      <c r="F118" s="41">
        <f>1+1</f>
        <v>2</v>
      </c>
      <c r="G118" s="13" t="s">
        <v>31</v>
      </c>
      <c r="H118" s="41">
        <f>(26042.2+87861)/F118</f>
        <v>56951.6</v>
      </c>
      <c r="I118" s="55">
        <f>F118*H118</f>
        <v>113903.2</v>
      </c>
      <c r="J118" s="5" t="s">
        <v>198</v>
      </c>
      <c r="L118" s="2"/>
    </row>
    <row r="119" spans="1:12" ht="18.75" x14ac:dyDescent="0.25">
      <c r="A119" s="9"/>
      <c r="B119" s="8"/>
      <c r="C119" s="4"/>
      <c r="D119" s="15" t="s">
        <v>184</v>
      </c>
      <c r="E119" s="41"/>
      <c r="F119" s="41">
        <f>2+2+1+2</f>
        <v>7</v>
      </c>
      <c r="G119" s="13" t="s">
        <v>54</v>
      </c>
      <c r="H119" s="47">
        <f>(2449.2+8593+1230.4+2436.4)/F119</f>
        <v>2101.2857142857142</v>
      </c>
      <c r="I119" s="55">
        <f t="shared" ref="I119" si="8">F119*H119</f>
        <v>14709</v>
      </c>
      <c r="J119" s="13" t="s">
        <v>118</v>
      </c>
      <c r="L119" s="2"/>
    </row>
    <row r="120" spans="1:12" ht="31.5" x14ac:dyDescent="0.25">
      <c r="A120" s="9" t="s">
        <v>21</v>
      </c>
      <c r="B120" s="8"/>
      <c r="C120" s="4"/>
      <c r="D120" s="15" t="s">
        <v>70</v>
      </c>
      <c r="E120" s="41"/>
      <c r="F120" s="41"/>
      <c r="G120" s="13" t="s">
        <v>148</v>
      </c>
      <c r="H120" s="41"/>
      <c r="I120" s="41"/>
      <c r="J120" s="13"/>
      <c r="L120" s="2"/>
    </row>
    <row r="121" spans="1:12" ht="18.75" x14ac:dyDescent="0.25">
      <c r="A121" s="45"/>
      <c r="B121" s="46"/>
      <c r="C121" s="22"/>
      <c r="D121" s="30"/>
      <c r="E121" s="44"/>
      <c r="F121" s="44"/>
      <c r="G121" s="31"/>
      <c r="H121" s="41"/>
      <c r="I121" s="47">
        <f>SUM(I109:I120)</f>
        <v>199617.46666666667</v>
      </c>
      <c r="J121" s="13"/>
      <c r="L121" s="2"/>
    </row>
    <row r="122" spans="1:12" ht="18.75" x14ac:dyDescent="0.3">
      <c r="A122" s="75" t="s">
        <v>72</v>
      </c>
      <c r="B122" s="76"/>
      <c r="C122" s="76"/>
      <c r="D122" s="76"/>
      <c r="E122" s="76"/>
      <c r="F122" s="76"/>
      <c r="G122" s="77"/>
      <c r="H122" s="13"/>
      <c r="I122" s="5"/>
      <c r="J122" s="5"/>
      <c r="L122" s="2"/>
    </row>
    <row r="123" spans="1:12" ht="37.5" x14ac:dyDescent="0.25">
      <c r="A123" s="9" t="s">
        <v>91</v>
      </c>
      <c r="B123" s="8"/>
      <c r="C123" s="4"/>
      <c r="D123" s="4" t="s">
        <v>130</v>
      </c>
      <c r="E123" s="31"/>
      <c r="F123" s="13">
        <f>8+6+4+5+2+14+6+3+80+6+4+8</f>
        <v>146</v>
      </c>
      <c r="G123" s="13" t="s">
        <v>117</v>
      </c>
      <c r="H123" s="33">
        <f>(5618+4212.2+2808.4+3533.4+1412.8+9892.4+4405.2+2202+58723.4+4459.4+2972.8+5948.8)/F123/3</f>
        <v>242.44018264840179</v>
      </c>
      <c r="I123" s="33">
        <f>F123*H123</f>
        <v>35396.266666666663</v>
      </c>
      <c r="J123" s="13" t="s">
        <v>118</v>
      </c>
      <c r="L123" s="2"/>
    </row>
    <row r="124" spans="1:12" ht="47.25" x14ac:dyDescent="0.25">
      <c r="A124" s="9"/>
      <c r="B124" s="8"/>
      <c r="C124" s="4"/>
      <c r="D124" s="15" t="s">
        <v>151</v>
      </c>
      <c r="E124" s="31"/>
      <c r="F124" s="31"/>
      <c r="G124" s="13" t="s">
        <v>30</v>
      </c>
      <c r="H124" s="31"/>
      <c r="I124" s="31"/>
      <c r="J124" s="13"/>
      <c r="L124" s="2"/>
    </row>
    <row r="125" spans="1:12" ht="18.75" x14ac:dyDescent="0.25">
      <c r="A125" s="9" t="s">
        <v>82</v>
      </c>
      <c r="B125" s="8"/>
      <c r="C125" s="4"/>
      <c r="D125" s="15" t="s">
        <v>69</v>
      </c>
      <c r="E125" s="41"/>
      <c r="F125" s="41"/>
      <c r="G125" s="14" t="s">
        <v>54</v>
      </c>
      <c r="H125" s="41"/>
      <c r="I125" s="41" t="s">
        <v>141</v>
      </c>
      <c r="J125" s="5"/>
      <c r="L125" s="2"/>
    </row>
    <row r="126" spans="1:12" ht="31.5" x14ac:dyDescent="0.25">
      <c r="A126" s="9" t="s">
        <v>21</v>
      </c>
      <c r="B126" s="8"/>
      <c r="C126" s="4"/>
      <c r="D126" s="15" t="s">
        <v>70</v>
      </c>
      <c r="E126" s="41" t="s">
        <v>141</v>
      </c>
      <c r="F126" s="41" t="s">
        <v>141</v>
      </c>
      <c r="G126" s="14" t="s">
        <v>54</v>
      </c>
      <c r="H126" s="41"/>
      <c r="I126" s="41" t="s">
        <v>141</v>
      </c>
      <c r="J126" s="5"/>
      <c r="L126" s="2"/>
    </row>
    <row r="127" spans="1:12" ht="18.75" x14ac:dyDescent="0.25">
      <c r="A127" s="9"/>
      <c r="B127" s="8"/>
      <c r="C127" s="4"/>
      <c r="D127" s="15" t="s">
        <v>171</v>
      </c>
      <c r="E127" s="41"/>
      <c r="F127" s="41">
        <f>2+1</f>
        <v>3</v>
      </c>
      <c r="G127" s="13" t="s">
        <v>54</v>
      </c>
      <c r="H127" s="47">
        <f>(2449.4+1210)/F127</f>
        <v>1219.8</v>
      </c>
      <c r="I127" s="55">
        <f t="shared" ref="I127" si="9">F127*H127</f>
        <v>3659.3999999999996</v>
      </c>
      <c r="J127" s="5"/>
      <c r="L127" s="2"/>
    </row>
    <row r="128" spans="1:12" ht="18.75" x14ac:dyDescent="0.25">
      <c r="A128" s="45"/>
      <c r="B128" s="46"/>
      <c r="C128" s="22"/>
      <c r="D128" s="30"/>
      <c r="E128" s="44"/>
      <c r="F128" s="44"/>
      <c r="G128" s="12"/>
      <c r="H128" s="41"/>
      <c r="I128" s="47">
        <f>SUM(I123:I127)</f>
        <v>39055.666666666664</v>
      </c>
      <c r="J128" s="5"/>
      <c r="L128" s="2"/>
    </row>
    <row r="129" spans="1:12" ht="18.75" x14ac:dyDescent="0.3">
      <c r="A129" s="75" t="s">
        <v>73</v>
      </c>
      <c r="B129" s="76"/>
      <c r="C129" s="76"/>
      <c r="D129" s="76"/>
      <c r="E129" s="76"/>
      <c r="F129" s="76"/>
      <c r="G129" s="77"/>
      <c r="H129" s="19"/>
      <c r="I129" s="5"/>
      <c r="J129" s="5"/>
      <c r="L129" s="2"/>
    </row>
    <row r="130" spans="1:12" ht="37.5" x14ac:dyDescent="0.25">
      <c r="A130" s="9" t="s">
        <v>97</v>
      </c>
      <c r="B130" s="8"/>
      <c r="C130" s="4"/>
      <c r="D130" s="4" t="s">
        <v>131</v>
      </c>
      <c r="E130" s="31"/>
      <c r="F130" s="13">
        <f>8+6+4+5+2+14+6+3+80+6+4+8</f>
        <v>146</v>
      </c>
      <c r="G130" s="13" t="s">
        <v>117</v>
      </c>
      <c r="H130" s="33">
        <f>(5618+4212.2+2808.4+3533.4+1412.8+9892.4+4405.2+2202+58723.4+4459.4+2972.8+5948.8)/F130/3</f>
        <v>242.44018264840179</v>
      </c>
      <c r="I130" s="33">
        <f>F130*H130</f>
        <v>35396.266666666663</v>
      </c>
      <c r="J130" s="13" t="s">
        <v>118</v>
      </c>
      <c r="L130" s="2"/>
    </row>
    <row r="131" spans="1:12" ht="31.5" x14ac:dyDescent="0.25">
      <c r="A131" s="9"/>
      <c r="B131" s="8"/>
      <c r="C131" s="4"/>
      <c r="D131" s="15" t="s">
        <v>167</v>
      </c>
      <c r="E131" s="31"/>
      <c r="F131" s="13"/>
      <c r="G131" s="13" t="s">
        <v>138</v>
      </c>
      <c r="H131" s="33"/>
      <c r="I131" s="33"/>
      <c r="J131" s="13"/>
      <c r="L131" s="2"/>
    </row>
    <row r="132" spans="1:12" ht="18.75" x14ac:dyDescent="0.25">
      <c r="A132" s="9"/>
      <c r="B132" s="8"/>
      <c r="C132" s="4"/>
      <c r="D132" s="4" t="s">
        <v>116</v>
      </c>
      <c r="E132" s="41" t="s">
        <v>141</v>
      </c>
      <c r="F132" s="41">
        <f>8+1+10+4+3+3+4</f>
        <v>33</v>
      </c>
      <c r="G132" s="13" t="s">
        <v>30</v>
      </c>
      <c r="H132" s="47">
        <f>(2677.8+335+3395+1415.2+1061.4+1073.4+1433.6)/F132</f>
        <v>345.19393939393939</v>
      </c>
      <c r="I132" s="41">
        <f>F132*H132</f>
        <v>11391.4</v>
      </c>
      <c r="J132" s="13"/>
      <c r="L132" s="2"/>
    </row>
    <row r="133" spans="1:12" ht="18.75" x14ac:dyDescent="0.25">
      <c r="A133" s="9" t="s">
        <v>22</v>
      </c>
      <c r="B133" s="8"/>
      <c r="C133" s="4"/>
      <c r="D133" s="4" t="s">
        <v>76</v>
      </c>
      <c r="E133" s="41" t="s">
        <v>141</v>
      </c>
      <c r="F133" s="41" t="s">
        <v>141</v>
      </c>
      <c r="G133" s="13" t="s">
        <v>30</v>
      </c>
      <c r="H133" s="41"/>
      <c r="I133" s="41" t="s">
        <v>141</v>
      </c>
      <c r="J133" s="5"/>
      <c r="L133" s="2"/>
    </row>
    <row r="134" spans="1:12" ht="18.75" x14ac:dyDescent="0.25">
      <c r="A134" s="45"/>
      <c r="B134" s="46"/>
      <c r="C134" s="22"/>
      <c r="D134" s="22"/>
      <c r="E134" s="44"/>
      <c r="F134" s="44"/>
      <c r="G134" s="31"/>
      <c r="H134" s="41"/>
      <c r="I134" s="47">
        <f>SUM(I130:I133)</f>
        <v>46787.666666666664</v>
      </c>
      <c r="J134" s="5"/>
      <c r="L134" s="2"/>
    </row>
    <row r="135" spans="1:12" ht="18.75" x14ac:dyDescent="0.3">
      <c r="A135" s="75" t="s">
        <v>77</v>
      </c>
      <c r="B135" s="76"/>
      <c r="C135" s="76"/>
      <c r="D135" s="76"/>
      <c r="E135" s="76"/>
      <c r="F135" s="76"/>
      <c r="G135" s="77"/>
      <c r="H135" s="5"/>
      <c r="I135" s="5"/>
      <c r="J135" s="5"/>
      <c r="L135" s="2"/>
    </row>
    <row r="136" spans="1:12" ht="38.25" customHeight="1" x14ac:dyDescent="0.25">
      <c r="A136" s="9" t="s">
        <v>23</v>
      </c>
      <c r="B136" s="5"/>
      <c r="C136" s="4"/>
      <c r="D136" s="15" t="s">
        <v>144</v>
      </c>
      <c r="E136" s="41"/>
      <c r="F136" s="41"/>
      <c r="G136" s="13" t="s">
        <v>54</v>
      </c>
      <c r="H136" s="41"/>
      <c r="I136" s="41"/>
      <c r="J136" s="13"/>
      <c r="L136" s="2"/>
    </row>
    <row r="137" spans="1:12" ht="38.25" customHeight="1" x14ac:dyDescent="0.25">
      <c r="A137" s="9"/>
      <c r="B137" s="5"/>
      <c r="C137" s="4"/>
      <c r="D137" s="15" t="s">
        <v>144</v>
      </c>
      <c r="E137" s="41"/>
      <c r="F137" s="41"/>
      <c r="G137" s="13" t="s">
        <v>54</v>
      </c>
      <c r="H137" s="41"/>
      <c r="I137" s="55"/>
      <c r="J137" s="13"/>
      <c r="L137" s="2"/>
    </row>
    <row r="138" spans="1:12" ht="18.75" x14ac:dyDescent="0.25">
      <c r="A138" s="9" t="s">
        <v>24</v>
      </c>
      <c r="B138" s="5"/>
      <c r="C138" s="4"/>
      <c r="D138" s="4" t="s">
        <v>199</v>
      </c>
      <c r="E138" s="41"/>
      <c r="F138" s="41">
        <f>24</f>
        <v>24</v>
      </c>
      <c r="G138" s="13" t="s">
        <v>54</v>
      </c>
      <c r="H138" s="47">
        <f>23058.8/F138</f>
        <v>960.7833333333333</v>
      </c>
      <c r="I138" s="55">
        <f>F138*H138</f>
        <v>23058.799999999999</v>
      </c>
      <c r="J138" s="13" t="s">
        <v>122</v>
      </c>
      <c r="L138" s="2"/>
    </row>
    <row r="139" spans="1:12" ht="31.5" x14ac:dyDescent="0.25">
      <c r="A139" s="9" t="s">
        <v>128</v>
      </c>
      <c r="B139" s="5"/>
      <c r="C139" s="4"/>
      <c r="D139" s="15" t="s">
        <v>194</v>
      </c>
      <c r="E139" s="31"/>
      <c r="F139" s="13">
        <f>1+3</f>
        <v>4</v>
      </c>
      <c r="G139" s="13" t="s">
        <v>54</v>
      </c>
      <c r="H139" s="33">
        <f>(1799.8+5440.6)/F139</f>
        <v>1810.1000000000001</v>
      </c>
      <c r="I139" s="65">
        <f t="shared" ref="I139:I149" si="10">F139*H139</f>
        <v>7240.4000000000005</v>
      </c>
      <c r="J139" s="13" t="s">
        <v>160</v>
      </c>
      <c r="L139" s="2"/>
    </row>
    <row r="140" spans="1:12" ht="31.5" x14ac:dyDescent="0.25">
      <c r="A140" s="9"/>
      <c r="B140" s="5"/>
      <c r="C140" s="4"/>
      <c r="D140" s="15" t="s">
        <v>194</v>
      </c>
      <c r="E140" s="31"/>
      <c r="F140" s="53">
        <f>4+24</f>
        <v>28</v>
      </c>
      <c r="G140" s="13" t="s">
        <v>54</v>
      </c>
      <c r="H140" s="33">
        <f>(57984)/F140</f>
        <v>2070.8571428571427</v>
      </c>
      <c r="I140" s="57">
        <f t="shared" ref="I140" si="11">F140*H140</f>
        <v>57983.999999999993</v>
      </c>
      <c r="J140" s="13"/>
      <c r="L140" s="2"/>
    </row>
    <row r="141" spans="1:12" ht="31.5" x14ac:dyDescent="0.25">
      <c r="A141" s="9"/>
      <c r="B141" s="5"/>
      <c r="C141" s="4"/>
      <c r="D141" s="15" t="s">
        <v>157</v>
      </c>
      <c r="E141" s="31"/>
      <c r="F141" s="13"/>
      <c r="G141" s="13" t="s">
        <v>158</v>
      </c>
      <c r="H141" s="13"/>
      <c r="I141" s="13"/>
      <c r="J141" s="13"/>
      <c r="L141" s="2"/>
    </row>
    <row r="142" spans="1:12" ht="18.75" x14ac:dyDescent="0.25">
      <c r="A142" s="9"/>
      <c r="B142" s="5"/>
      <c r="C142" s="4"/>
      <c r="D142" s="15" t="s">
        <v>239</v>
      </c>
      <c r="E142" s="31"/>
      <c r="F142" s="13">
        <f>40</f>
        <v>40</v>
      </c>
      <c r="G142" s="13" t="s">
        <v>158</v>
      </c>
      <c r="H142" s="13">
        <f>10905.2/F142</f>
        <v>272.63</v>
      </c>
      <c r="I142" s="57">
        <f>F142*H142</f>
        <v>10905.2</v>
      </c>
      <c r="J142" s="13" t="s">
        <v>122</v>
      </c>
      <c r="L142" s="2"/>
    </row>
    <row r="143" spans="1:12" ht="18.75" x14ac:dyDescent="0.25">
      <c r="A143" s="9"/>
      <c r="B143" s="5"/>
      <c r="C143" s="4"/>
      <c r="D143" s="15" t="s">
        <v>240</v>
      </c>
      <c r="E143" s="31"/>
      <c r="F143" s="13">
        <v>30</v>
      </c>
      <c r="G143" s="13" t="s">
        <v>158</v>
      </c>
      <c r="H143" s="33">
        <f>11429.6/F143</f>
        <v>380.98666666666668</v>
      </c>
      <c r="I143" s="57">
        <f>F143*H143</f>
        <v>11429.6</v>
      </c>
      <c r="J143" s="13" t="s">
        <v>122</v>
      </c>
      <c r="L143" s="2"/>
    </row>
    <row r="144" spans="1:12" ht="18.75" x14ac:dyDescent="0.25">
      <c r="A144" s="9"/>
      <c r="B144" s="5"/>
      <c r="C144" s="4"/>
      <c r="D144" s="15" t="s">
        <v>179</v>
      </c>
      <c r="E144" s="31"/>
      <c r="F144" s="13">
        <f>9+120</f>
        <v>129</v>
      </c>
      <c r="G144" s="13" t="s">
        <v>31</v>
      </c>
      <c r="H144" s="33">
        <f>(509+19764.2)/F144</f>
        <v>157.15658914728684</v>
      </c>
      <c r="I144" s="57">
        <f t="shared" si="10"/>
        <v>20273.2</v>
      </c>
      <c r="J144" s="13" t="s">
        <v>123</v>
      </c>
      <c r="L144" s="2"/>
    </row>
    <row r="145" spans="1:12" ht="18.75" x14ac:dyDescent="0.25">
      <c r="A145" s="9"/>
      <c r="B145" s="5"/>
      <c r="C145" s="4"/>
      <c r="D145" s="15" t="s">
        <v>180</v>
      </c>
      <c r="E145" s="31"/>
      <c r="F145" s="53">
        <f>9+120</f>
        <v>129</v>
      </c>
      <c r="G145" s="13" t="s">
        <v>31</v>
      </c>
      <c r="H145" s="33">
        <f>(256827.2)/F145</f>
        <v>1990.9085271317831</v>
      </c>
      <c r="I145" s="57">
        <f t="shared" ref="I145" si="12">F145*H145</f>
        <v>256827.2</v>
      </c>
      <c r="J145" s="13" t="s">
        <v>123</v>
      </c>
      <c r="L145" s="2"/>
    </row>
    <row r="146" spans="1:12" ht="18.75" x14ac:dyDescent="0.25">
      <c r="A146" s="9"/>
      <c r="B146" s="5"/>
      <c r="C146" s="4"/>
      <c r="D146" s="15" t="s">
        <v>106</v>
      </c>
      <c r="E146" s="41"/>
      <c r="F146" s="41">
        <f>36</f>
        <v>36</v>
      </c>
      <c r="G146" s="13" t="s">
        <v>54</v>
      </c>
      <c r="H146" s="47">
        <f>2957/F146</f>
        <v>82.138888888888886</v>
      </c>
      <c r="I146" s="41">
        <f>F146*H146</f>
        <v>2957</v>
      </c>
      <c r="J146" s="13" t="s">
        <v>118</v>
      </c>
      <c r="L146" s="2"/>
    </row>
    <row r="147" spans="1:12" ht="18.75" x14ac:dyDescent="0.25">
      <c r="A147" s="9"/>
      <c r="B147" s="5"/>
      <c r="C147" s="4"/>
      <c r="D147" s="15" t="s">
        <v>107</v>
      </c>
      <c r="E147" s="32"/>
      <c r="F147" s="13">
        <f>6+3+2+2+11+5+9+6+8+7+2+6</f>
        <v>67</v>
      </c>
      <c r="G147" s="13" t="s">
        <v>54</v>
      </c>
      <c r="H147" s="33">
        <f>(1049.8+525+350+350+1858.6+843.8+1545+1029+1372+1209.2+1036.2)/F147</f>
        <v>166.69552238805974</v>
      </c>
      <c r="I147" s="13">
        <f t="shared" si="10"/>
        <v>11168.600000000002</v>
      </c>
      <c r="J147" s="13" t="s">
        <v>118</v>
      </c>
      <c r="L147" s="2"/>
    </row>
    <row r="148" spans="1:12" ht="18.75" x14ac:dyDescent="0.25">
      <c r="A148" s="9"/>
      <c r="B148" s="5"/>
      <c r="C148" s="4"/>
      <c r="D148" s="15" t="s">
        <v>143</v>
      </c>
      <c r="E148" s="32"/>
      <c r="F148" s="13">
        <f>7+4+20+11+2+7+2+2</f>
        <v>55</v>
      </c>
      <c r="G148" s="13" t="s">
        <v>31</v>
      </c>
      <c r="H148" s="33">
        <f>(1298.4+730+3659+2037+377+1298+388.8+388.8)/F148</f>
        <v>185.0363636363636</v>
      </c>
      <c r="I148" s="13">
        <f t="shared" si="10"/>
        <v>10176.999999999998</v>
      </c>
      <c r="J148" s="13" t="s">
        <v>118</v>
      </c>
      <c r="L148" s="2"/>
    </row>
    <row r="149" spans="1:12" ht="56.25" x14ac:dyDescent="0.25">
      <c r="A149" s="9" t="s">
        <v>108</v>
      </c>
      <c r="B149" s="5"/>
      <c r="C149" s="4"/>
      <c r="D149" s="15" t="s">
        <v>126</v>
      </c>
      <c r="E149" s="32"/>
      <c r="F149" s="13">
        <f>28+28+28+28+28+28+28+28+28+28+28+28</f>
        <v>336</v>
      </c>
      <c r="G149" s="13" t="s">
        <v>109</v>
      </c>
      <c r="H149" s="33">
        <f>(1226+1226+1226+1233+1233+123+1282.23+1282.2+1282.2+1299.4+1299.4+1299.4)/F149</f>
        <v>41.701875000000001</v>
      </c>
      <c r="I149" s="13">
        <f t="shared" si="10"/>
        <v>14011.83</v>
      </c>
      <c r="J149" s="13" t="s">
        <v>118</v>
      </c>
      <c r="L149" s="2"/>
    </row>
    <row r="150" spans="1:12" ht="18.75" x14ac:dyDescent="0.25">
      <c r="A150" s="45"/>
      <c r="B150" s="22"/>
      <c r="C150" s="22"/>
      <c r="D150" s="30"/>
      <c r="E150" s="48"/>
      <c r="F150" s="49"/>
      <c r="G150" s="31"/>
      <c r="H150" s="31"/>
      <c r="I150" s="13">
        <f>SUM(I136:I149)</f>
        <v>426032.83</v>
      </c>
      <c r="J150" s="13"/>
      <c r="L150" s="2"/>
    </row>
    <row r="151" spans="1:12" ht="18.75" x14ac:dyDescent="0.25">
      <c r="A151" s="82" t="s">
        <v>90</v>
      </c>
      <c r="B151" s="83"/>
      <c r="C151" s="83"/>
      <c r="D151" s="83"/>
      <c r="E151" s="83"/>
      <c r="F151" s="83"/>
      <c r="G151" s="84"/>
      <c r="H151" s="12"/>
      <c r="I151" s="5"/>
      <c r="J151" s="5"/>
      <c r="L151" s="2"/>
    </row>
    <row r="152" spans="1:12" ht="18.75" x14ac:dyDescent="0.25">
      <c r="A152" s="26"/>
      <c r="B152" s="27"/>
      <c r="C152" s="27"/>
      <c r="D152" s="36" t="s">
        <v>119</v>
      </c>
      <c r="E152" s="41"/>
      <c r="F152" s="41"/>
      <c r="G152" s="38" t="s">
        <v>31</v>
      </c>
      <c r="H152" s="41"/>
      <c r="I152" s="41"/>
      <c r="J152" s="13"/>
      <c r="L152" s="2"/>
    </row>
    <row r="153" spans="1:12" ht="31.5" x14ac:dyDescent="0.25">
      <c r="A153" s="69"/>
      <c r="B153" s="70"/>
      <c r="C153" s="70"/>
      <c r="D153" s="71" t="s">
        <v>252</v>
      </c>
      <c r="E153" s="44"/>
      <c r="F153" s="41">
        <f>1</f>
        <v>1</v>
      </c>
      <c r="G153" s="32" t="s">
        <v>138</v>
      </c>
      <c r="H153" s="41">
        <f>5804.2/F153</f>
        <v>5804.2</v>
      </c>
      <c r="I153" s="55">
        <f>F153*H153</f>
        <v>5804.2</v>
      </c>
      <c r="J153" s="13" t="s">
        <v>122</v>
      </c>
      <c r="L153" s="2"/>
    </row>
    <row r="154" spans="1:12" ht="63" x14ac:dyDescent="0.25">
      <c r="A154" s="9" t="s">
        <v>88</v>
      </c>
      <c r="B154" s="22"/>
      <c r="C154" s="22"/>
      <c r="D154" s="23" t="s">
        <v>121</v>
      </c>
      <c r="E154" s="37">
        <v>967</v>
      </c>
      <c r="F154" s="13">
        <v>967</v>
      </c>
      <c r="G154" s="31" t="s">
        <v>89</v>
      </c>
      <c r="H154" s="31">
        <v>4.8</v>
      </c>
      <c r="I154" s="13">
        <f>F154*H154*12</f>
        <v>55699.199999999997</v>
      </c>
      <c r="J154" s="13" t="s">
        <v>118</v>
      </c>
      <c r="L154" s="2"/>
    </row>
    <row r="155" spans="1:12" ht="18.75" x14ac:dyDescent="0.25">
      <c r="A155" s="45"/>
      <c r="B155" s="22"/>
      <c r="C155" s="22"/>
      <c r="D155" s="30"/>
      <c r="E155" s="48"/>
      <c r="F155" s="49"/>
      <c r="G155" s="31"/>
      <c r="H155" s="31"/>
      <c r="I155" s="13">
        <f>SUM(I152:I154)</f>
        <v>61503.399999999994</v>
      </c>
      <c r="J155" s="13"/>
      <c r="L155" s="2"/>
    </row>
    <row r="156" spans="1:12" ht="18.75" x14ac:dyDescent="0.3">
      <c r="A156" s="75" t="s">
        <v>78</v>
      </c>
      <c r="B156" s="76"/>
      <c r="C156" s="76"/>
      <c r="D156" s="76"/>
      <c r="E156" s="76"/>
      <c r="F156" s="76"/>
      <c r="G156" s="77"/>
      <c r="H156" s="19"/>
      <c r="I156" s="5"/>
      <c r="J156" s="5"/>
      <c r="L156" s="2"/>
    </row>
    <row r="157" spans="1:12" ht="46.5" customHeight="1" x14ac:dyDescent="0.3">
      <c r="A157" s="34" t="s">
        <v>133</v>
      </c>
      <c r="B157" s="24"/>
      <c r="C157" s="24"/>
      <c r="D157" s="35" t="s">
        <v>132</v>
      </c>
      <c r="E157" s="13">
        <v>260</v>
      </c>
      <c r="F157" s="13">
        <v>260</v>
      </c>
      <c r="G157" s="13" t="s">
        <v>140</v>
      </c>
      <c r="H157" s="13">
        <v>13</v>
      </c>
      <c r="I157" s="13">
        <f>F157*H157*3</f>
        <v>10140</v>
      </c>
      <c r="J157" s="13" t="s">
        <v>161</v>
      </c>
      <c r="L157" s="2"/>
    </row>
    <row r="158" spans="1:12" ht="18.75" x14ac:dyDescent="0.25">
      <c r="A158" s="9" t="s">
        <v>25</v>
      </c>
      <c r="B158" s="5"/>
      <c r="C158" s="4"/>
      <c r="D158" s="4" t="s">
        <v>75</v>
      </c>
      <c r="E158" s="41" t="s">
        <v>141</v>
      </c>
      <c r="F158" s="41" t="s">
        <v>141</v>
      </c>
      <c r="G158" s="14" t="s">
        <v>54</v>
      </c>
      <c r="H158" s="41" t="s">
        <v>141</v>
      </c>
      <c r="I158" s="41" t="s">
        <v>141</v>
      </c>
      <c r="J158" s="5"/>
      <c r="L158" s="2"/>
    </row>
    <row r="159" spans="1:12" ht="47.25" x14ac:dyDescent="0.25">
      <c r="A159" s="9" t="s">
        <v>26</v>
      </c>
      <c r="B159" s="5"/>
      <c r="C159" s="4"/>
      <c r="D159" s="15" t="s">
        <v>28</v>
      </c>
      <c r="E159" s="41" t="s">
        <v>141</v>
      </c>
      <c r="F159" s="41" t="s">
        <v>141</v>
      </c>
      <c r="G159" s="14" t="s">
        <v>54</v>
      </c>
      <c r="H159" s="41" t="s">
        <v>141</v>
      </c>
      <c r="I159" s="41" t="s">
        <v>141</v>
      </c>
      <c r="J159" s="5"/>
      <c r="L159" s="2"/>
    </row>
    <row r="160" spans="1:12" ht="31.5" x14ac:dyDescent="0.25">
      <c r="A160" s="9" t="s">
        <v>27</v>
      </c>
      <c r="B160" s="5"/>
      <c r="C160" s="4"/>
      <c r="D160" s="15" t="s">
        <v>74</v>
      </c>
      <c r="E160" s="41" t="s">
        <v>141</v>
      </c>
      <c r="F160" s="41" t="s">
        <v>141</v>
      </c>
      <c r="G160" s="14" t="s">
        <v>54</v>
      </c>
      <c r="H160" s="41" t="s">
        <v>141</v>
      </c>
      <c r="I160" s="41" t="s">
        <v>141</v>
      </c>
      <c r="J160" s="5"/>
      <c r="L160" s="2"/>
    </row>
    <row r="161" spans="1:12" ht="18.75" x14ac:dyDescent="0.25">
      <c r="A161" s="45"/>
      <c r="B161" s="22"/>
      <c r="C161" s="22"/>
      <c r="D161" s="30"/>
      <c r="E161" s="44"/>
      <c r="F161" s="44"/>
      <c r="G161" s="12"/>
      <c r="H161" s="63"/>
      <c r="I161" s="63">
        <f>SUM(I157:I160)</f>
        <v>10140</v>
      </c>
      <c r="J161" s="5"/>
      <c r="L161" s="2"/>
    </row>
    <row r="162" spans="1:12" ht="18.75" x14ac:dyDescent="0.3">
      <c r="A162" s="75" t="s">
        <v>83</v>
      </c>
      <c r="B162" s="76"/>
      <c r="C162" s="76"/>
      <c r="D162" s="76"/>
      <c r="E162" s="76"/>
      <c r="F162" s="76"/>
      <c r="G162" s="77"/>
      <c r="H162" s="25"/>
      <c r="I162" s="25"/>
      <c r="J162" s="25"/>
      <c r="K162" s="2"/>
      <c r="L162" s="2"/>
    </row>
    <row r="163" spans="1:12" ht="48" x14ac:dyDescent="0.3">
      <c r="A163" s="6" t="s">
        <v>66</v>
      </c>
      <c r="B163" s="6"/>
      <c r="C163" s="4"/>
      <c r="D163" s="15" t="s">
        <v>84</v>
      </c>
      <c r="E163" s="41" t="s">
        <v>141</v>
      </c>
      <c r="F163" s="41" t="s">
        <v>141</v>
      </c>
      <c r="G163" s="13" t="s">
        <v>30</v>
      </c>
      <c r="H163" s="41" t="s">
        <v>141</v>
      </c>
      <c r="I163" s="41" t="s">
        <v>141</v>
      </c>
      <c r="J163" s="5"/>
      <c r="L163" s="2"/>
    </row>
    <row r="164" spans="1:12" ht="32.25" x14ac:dyDescent="0.3">
      <c r="A164" s="28"/>
      <c r="B164" s="29"/>
      <c r="C164" s="22"/>
      <c r="D164" s="30" t="s">
        <v>110</v>
      </c>
      <c r="E164" s="41" t="s">
        <v>141</v>
      </c>
      <c r="F164" s="41" t="s">
        <v>141</v>
      </c>
      <c r="G164" s="13" t="s">
        <v>111</v>
      </c>
      <c r="H164" s="41" t="s">
        <v>141</v>
      </c>
      <c r="I164" s="41" t="s">
        <v>141</v>
      </c>
      <c r="J164" s="39"/>
      <c r="L164" s="2"/>
    </row>
    <row r="165" spans="1:12" ht="18.75" x14ac:dyDescent="0.3">
      <c r="A165" s="28"/>
      <c r="B165" s="29"/>
      <c r="C165" s="22"/>
      <c r="D165" s="30"/>
      <c r="E165" s="44"/>
      <c r="F165" s="44"/>
      <c r="G165" s="31"/>
      <c r="H165" s="44"/>
      <c r="I165" s="44"/>
      <c r="J165" s="50"/>
      <c r="L165" s="2"/>
    </row>
    <row r="166" spans="1:12" ht="18.75" x14ac:dyDescent="0.3">
      <c r="A166" s="75" t="s">
        <v>98</v>
      </c>
      <c r="B166" s="76"/>
      <c r="C166" s="76"/>
      <c r="D166" s="76"/>
      <c r="E166" s="76"/>
      <c r="F166" s="76"/>
      <c r="G166" s="77"/>
      <c r="H166" s="75"/>
      <c r="I166" s="76"/>
      <c r="J166" s="76"/>
      <c r="L166" s="2"/>
    </row>
    <row r="167" spans="1:12" ht="32.25" x14ac:dyDescent="0.3">
      <c r="A167" s="34" t="s">
        <v>159</v>
      </c>
      <c r="B167" s="24"/>
      <c r="C167" s="24"/>
      <c r="D167" s="40" t="s">
        <v>135</v>
      </c>
      <c r="E167" s="13"/>
      <c r="F167" s="13"/>
      <c r="G167" s="13" t="s">
        <v>136</v>
      </c>
      <c r="H167" s="13"/>
      <c r="I167" s="59"/>
      <c r="J167" s="13"/>
      <c r="L167" s="2"/>
    </row>
    <row r="168" spans="1:12" ht="48" x14ac:dyDescent="0.3">
      <c r="A168" s="24"/>
      <c r="B168" s="24"/>
      <c r="C168" s="24"/>
      <c r="D168" s="40" t="s">
        <v>137</v>
      </c>
      <c r="E168" s="41"/>
      <c r="F168" s="41">
        <f>120+60</f>
        <v>180</v>
      </c>
      <c r="G168" s="13" t="s">
        <v>138</v>
      </c>
      <c r="H168" s="41">
        <f>(84000+42000)/F168</f>
        <v>700</v>
      </c>
      <c r="I168" s="60">
        <f>F168*H168</f>
        <v>126000</v>
      </c>
      <c r="J168" s="13" t="s">
        <v>125</v>
      </c>
      <c r="L168" s="2"/>
    </row>
    <row r="169" spans="1:12" ht="32.25" x14ac:dyDescent="0.3">
      <c r="A169" s="24"/>
      <c r="B169" s="24"/>
      <c r="C169" s="24"/>
      <c r="D169" s="40" t="s">
        <v>164</v>
      </c>
      <c r="E169" s="13"/>
      <c r="F169" s="13">
        <f>1120+300</f>
        <v>1420</v>
      </c>
      <c r="G169" s="13" t="s">
        <v>139</v>
      </c>
      <c r="H169" s="33">
        <f>(51330+13749)/F169</f>
        <v>45.830281690140843</v>
      </c>
      <c r="I169" s="59">
        <f t="shared" ref="I169:I170" si="13">F169*H169</f>
        <v>65079</v>
      </c>
      <c r="J169" s="13" t="s">
        <v>125</v>
      </c>
      <c r="L169" s="2"/>
    </row>
    <row r="170" spans="1:12" ht="32.25" x14ac:dyDescent="0.3">
      <c r="A170" s="34"/>
      <c r="B170" s="24"/>
      <c r="C170" s="24"/>
      <c r="D170" s="40" t="s">
        <v>165</v>
      </c>
      <c r="E170" s="13"/>
      <c r="F170" s="13">
        <f>105+75+30</f>
        <v>210</v>
      </c>
      <c r="G170" s="13" t="s">
        <v>139</v>
      </c>
      <c r="H170" s="33">
        <f>(4812+3437+1375)/F170</f>
        <v>45.828571428571429</v>
      </c>
      <c r="I170" s="59">
        <f t="shared" si="13"/>
        <v>9624</v>
      </c>
      <c r="J170" s="13" t="s">
        <v>125</v>
      </c>
      <c r="L170" s="2"/>
    </row>
    <row r="171" spans="1:12" ht="63" x14ac:dyDescent="0.3">
      <c r="A171" s="24"/>
      <c r="B171" s="24"/>
      <c r="C171" s="24"/>
      <c r="D171" s="40" t="s">
        <v>162</v>
      </c>
      <c r="E171" s="13"/>
      <c r="F171" s="13"/>
      <c r="G171" s="38" t="s">
        <v>156</v>
      </c>
      <c r="H171" s="13"/>
      <c r="I171" s="13"/>
      <c r="J171" s="13"/>
      <c r="L171" s="2"/>
    </row>
    <row r="172" spans="1:12" ht="63" x14ac:dyDescent="0.3">
      <c r="A172" s="34" t="s">
        <v>159</v>
      </c>
      <c r="B172" s="14"/>
      <c r="C172" s="14"/>
      <c r="D172" s="43" t="s">
        <v>155</v>
      </c>
      <c r="E172" s="14"/>
      <c r="F172" s="14"/>
      <c r="G172" s="38" t="s">
        <v>156</v>
      </c>
      <c r="H172" s="54"/>
      <c r="I172" s="61"/>
      <c r="J172" s="14"/>
      <c r="L172" s="2"/>
    </row>
    <row r="173" spans="1:12" ht="18.75" x14ac:dyDescent="0.3">
      <c r="A173" s="34"/>
      <c r="B173" s="14"/>
      <c r="C173" s="14"/>
      <c r="D173" s="43" t="s">
        <v>185</v>
      </c>
      <c r="E173" s="14"/>
      <c r="F173" s="13">
        <v>1</v>
      </c>
      <c r="G173" s="38" t="s">
        <v>31</v>
      </c>
      <c r="H173" s="33">
        <f>2226.2/F173</f>
        <v>2226.1999999999998</v>
      </c>
      <c r="I173" s="57">
        <f t="shared" ref="I173:I175" si="14">F173*H173</f>
        <v>2226.1999999999998</v>
      </c>
      <c r="J173" s="13" t="s">
        <v>123</v>
      </c>
      <c r="L173" s="2"/>
    </row>
    <row r="174" spans="1:12" ht="18.75" x14ac:dyDescent="0.3">
      <c r="A174" s="34"/>
      <c r="B174" s="14"/>
      <c r="C174" s="14"/>
      <c r="D174" s="43" t="s">
        <v>186</v>
      </c>
      <c r="E174" s="14"/>
      <c r="F174" s="13">
        <v>1</v>
      </c>
      <c r="G174" s="38" t="s">
        <v>31</v>
      </c>
      <c r="H174" s="33">
        <f>3096</f>
        <v>3096</v>
      </c>
      <c r="I174" s="57">
        <f t="shared" si="14"/>
        <v>3096</v>
      </c>
      <c r="J174" s="13" t="s">
        <v>123</v>
      </c>
      <c r="L174" s="2"/>
    </row>
    <row r="175" spans="1:12" ht="18.75" x14ac:dyDescent="0.3">
      <c r="A175" s="34"/>
      <c r="B175" s="14"/>
      <c r="C175" s="14"/>
      <c r="D175" s="43" t="s">
        <v>195</v>
      </c>
      <c r="E175" s="14"/>
      <c r="F175" s="13">
        <f>1</f>
        <v>1</v>
      </c>
      <c r="G175" s="38" t="s">
        <v>31</v>
      </c>
      <c r="H175" s="33">
        <f>2155.2/F175</f>
        <v>2155.1999999999998</v>
      </c>
      <c r="I175" s="57">
        <f t="shared" si="14"/>
        <v>2155.1999999999998</v>
      </c>
      <c r="J175" s="13" t="s">
        <v>120</v>
      </c>
      <c r="L175" s="2"/>
    </row>
    <row r="176" spans="1:12" ht="31.5" x14ac:dyDescent="0.3">
      <c r="A176" s="34"/>
      <c r="B176" s="14"/>
      <c r="C176" s="14"/>
      <c r="D176" s="43" t="s">
        <v>172</v>
      </c>
      <c r="E176" s="14"/>
      <c r="F176" s="13"/>
      <c r="G176" s="38" t="s">
        <v>115</v>
      </c>
      <c r="H176" s="33"/>
      <c r="I176" s="57"/>
      <c r="J176" s="13"/>
      <c r="L176" s="2"/>
    </row>
    <row r="177" spans="1:12" ht="18.75" x14ac:dyDescent="0.3">
      <c r="A177" s="34"/>
      <c r="B177" s="14"/>
      <c r="C177" s="14"/>
      <c r="D177" s="43" t="s">
        <v>193</v>
      </c>
      <c r="E177" s="14"/>
      <c r="F177" s="13">
        <v>0.5</v>
      </c>
      <c r="G177" s="38" t="s">
        <v>138</v>
      </c>
      <c r="H177" s="33">
        <f>2809.6/F177</f>
        <v>5619.2</v>
      </c>
      <c r="I177" s="57">
        <f>F177*H177</f>
        <v>2809.6</v>
      </c>
      <c r="J177" s="13" t="s">
        <v>123</v>
      </c>
      <c r="L177" s="2"/>
    </row>
    <row r="178" spans="1:12" ht="18.75" x14ac:dyDescent="0.3">
      <c r="A178" s="34"/>
      <c r="B178" s="14"/>
      <c r="C178" s="14"/>
      <c r="D178" s="43" t="s">
        <v>192</v>
      </c>
      <c r="E178" s="14"/>
      <c r="F178" s="13">
        <f>3</f>
        <v>3</v>
      </c>
      <c r="G178" s="38" t="s">
        <v>115</v>
      </c>
      <c r="H178" s="33">
        <f>13115/F178</f>
        <v>4371.666666666667</v>
      </c>
      <c r="I178" s="57">
        <f>F178*H178</f>
        <v>13115</v>
      </c>
      <c r="J178" s="13" t="s">
        <v>123</v>
      </c>
      <c r="K178" s="53"/>
      <c r="L178" s="2"/>
    </row>
    <row r="179" spans="1:12" ht="61.5" customHeight="1" x14ac:dyDescent="0.3">
      <c r="A179" s="34"/>
      <c r="B179" s="14"/>
      <c r="C179" s="14"/>
      <c r="D179" s="43" t="s">
        <v>218</v>
      </c>
      <c r="E179" s="14"/>
      <c r="F179" s="13">
        <f>1</f>
        <v>1</v>
      </c>
      <c r="G179" s="38" t="s">
        <v>148</v>
      </c>
      <c r="H179" s="33">
        <f>30776/F179</f>
        <v>30776</v>
      </c>
      <c r="I179" s="57">
        <f>F179*H179</f>
        <v>30776</v>
      </c>
      <c r="J179" s="13" t="s">
        <v>123</v>
      </c>
      <c r="K179" s="53"/>
      <c r="L179" s="2"/>
    </row>
    <row r="180" spans="1:12" ht="33" customHeight="1" x14ac:dyDescent="0.3">
      <c r="A180" s="34"/>
      <c r="B180" s="14"/>
      <c r="C180" s="14"/>
      <c r="D180" s="43" t="s">
        <v>219</v>
      </c>
      <c r="E180" s="14"/>
      <c r="F180" s="13">
        <f>1</f>
        <v>1</v>
      </c>
      <c r="G180" s="38" t="s">
        <v>148</v>
      </c>
      <c r="H180" s="33">
        <f>131876/F180</f>
        <v>131876</v>
      </c>
      <c r="I180" s="57">
        <f>F180*H180</f>
        <v>131876</v>
      </c>
      <c r="J180" s="13" t="s">
        <v>123</v>
      </c>
      <c r="K180" s="53"/>
      <c r="L180" s="2"/>
    </row>
    <row r="181" spans="1:12" ht="63" x14ac:dyDescent="0.25">
      <c r="A181" s="25"/>
      <c r="B181" s="25"/>
      <c r="C181" s="25"/>
      <c r="D181" s="43" t="s">
        <v>241</v>
      </c>
      <c r="E181" s="13"/>
      <c r="F181" s="13">
        <f>2.772</f>
        <v>2.7719999999999998</v>
      </c>
      <c r="G181" s="38" t="s">
        <v>242</v>
      </c>
      <c r="H181" s="33">
        <f>6578.4/F181</f>
        <v>2373.1601731601731</v>
      </c>
      <c r="I181" s="57">
        <f t="shared" ref="I181" si="15">F181*H181</f>
        <v>6578.4</v>
      </c>
      <c r="J181" s="13" t="s">
        <v>123</v>
      </c>
      <c r="K181" s="2"/>
      <c r="L181" s="2"/>
    </row>
    <row r="182" spans="1:12" ht="15.75" x14ac:dyDescent="0.25">
      <c r="A182" s="25"/>
      <c r="B182" s="25"/>
      <c r="C182" s="25"/>
      <c r="D182" s="43"/>
      <c r="E182" s="13"/>
      <c r="F182" s="13"/>
      <c r="G182" s="38"/>
      <c r="H182" s="13"/>
      <c r="I182" s="33">
        <f>SUM(I167:I181)</f>
        <v>393335.4</v>
      </c>
      <c r="J182" s="13"/>
      <c r="K182" s="2"/>
      <c r="L182" s="2"/>
    </row>
    <row r="183" spans="1:12" ht="15.75" x14ac:dyDescent="0.25">
      <c r="A183" s="51" t="s">
        <v>178</v>
      </c>
      <c r="B183" s="25"/>
      <c r="C183" s="25"/>
      <c r="D183" s="43"/>
      <c r="E183" s="13"/>
      <c r="F183" s="13"/>
      <c r="G183" s="38"/>
      <c r="H183" s="13"/>
      <c r="I183" s="52">
        <f>I6+I7+I9+I23+I25+I30+I40+I41+I42+I43+I44+I45+I46+I47+I48+I49+I50+I51+I52+I53+I54+I55+I56+I57+I58+I59+I60+I61+I62+I63+I65+I67+I68+I69+I70+I72+I73+I74+I75+I77+I78+I79+I80+I81+I82+I83+I84+I87+I92+I93+I110+I111+I113+I118+I119+I127+I138+I140+I142+I143+I144+I145+I153+I168+I169+I170+I173+I174+I175+I177+I178+I179+I180+I181</f>
        <v>4922686.0000000009</v>
      </c>
      <c r="J183" s="14"/>
      <c r="K183" s="2"/>
      <c r="L183" s="2"/>
    </row>
    <row r="184" spans="1:12" ht="15.75" x14ac:dyDescent="0.25">
      <c r="A184" s="51" t="s">
        <v>163</v>
      </c>
      <c r="B184" s="25"/>
      <c r="C184" s="25"/>
      <c r="D184" s="43"/>
      <c r="E184" s="13"/>
      <c r="F184" s="13"/>
      <c r="G184" s="38"/>
      <c r="H184" s="13"/>
      <c r="I184" s="52">
        <f>I17+I37+I88+I107+I121+I128+I134+I150+I155+I161+I182</f>
        <v>5505565.6300000027</v>
      </c>
      <c r="J184" s="14"/>
      <c r="K184" s="2"/>
      <c r="L184" s="2"/>
    </row>
    <row r="185" spans="1:12" ht="99.75" customHeight="1" x14ac:dyDescent="0.25">
      <c r="A185" s="72" t="s">
        <v>105</v>
      </c>
      <c r="B185" s="72"/>
      <c r="C185" s="72"/>
      <c r="D185" s="72"/>
      <c r="E185" s="72"/>
      <c r="F185" s="72"/>
      <c r="G185" s="72"/>
      <c r="H185" s="72"/>
      <c r="I185" s="72"/>
      <c r="J185" s="7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62"/>
      <c r="H188" s="2"/>
      <c r="I188" s="62"/>
      <c r="J188" s="6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</sheetData>
  <mergeCells count="16">
    <mergeCell ref="A185:J185"/>
    <mergeCell ref="A2:J2"/>
    <mergeCell ref="A166:G166"/>
    <mergeCell ref="H166:J166"/>
    <mergeCell ref="I1:J1"/>
    <mergeCell ref="A122:G122"/>
    <mergeCell ref="A135:G135"/>
    <mergeCell ref="A162:G162"/>
    <mergeCell ref="A38:G38"/>
    <mergeCell ref="A18:G18"/>
    <mergeCell ref="A4:G4"/>
    <mergeCell ref="A151:G151"/>
    <mergeCell ref="A89:G89"/>
    <mergeCell ref="A108:G108"/>
    <mergeCell ref="A129:G129"/>
    <mergeCell ref="A156:G156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2025-01-30T06:48:59Z</cp:lastPrinted>
  <dcterms:created xsi:type="dcterms:W3CDTF">2017-05-29T12:14:13Z</dcterms:created>
  <dcterms:modified xsi:type="dcterms:W3CDTF">2025-03-14T04:46:42Z</dcterms:modified>
</cp:coreProperties>
</file>