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9" i="1" l="1"/>
  <c r="H89" i="1"/>
  <c r="F82" i="1" l="1"/>
  <c r="H82" i="1" s="1"/>
  <c r="F98" i="1"/>
  <c r="H98" i="1" s="1"/>
  <c r="F146" i="1"/>
  <c r="H146" i="1" s="1"/>
  <c r="F157" i="1"/>
  <c r="H155" i="1"/>
  <c r="F126" i="1"/>
  <c r="H126" i="1" s="1"/>
  <c r="F125" i="1"/>
  <c r="H125" i="1" s="1"/>
  <c r="F106" i="1"/>
  <c r="H106" i="1" s="1"/>
  <c r="F109" i="1"/>
  <c r="H109" i="1" s="1"/>
  <c r="F67" i="1"/>
  <c r="H67" i="1" s="1"/>
  <c r="F66" i="1"/>
  <c r="H66" i="1" s="1"/>
  <c r="F68" i="1"/>
  <c r="H68" i="1" s="1"/>
  <c r="H157" i="1" l="1"/>
  <c r="I157" i="1" s="1"/>
  <c r="I82" i="1"/>
  <c r="I98" i="1"/>
  <c r="H154" i="1"/>
  <c r="F124" i="1"/>
  <c r="H124" i="1" s="1"/>
  <c r="F58" i="1"/>
  <c r="H58" i="1" s="1"/>
  <c r="I68" i="1"/>
  <c r="H39" i="1" l="1"/>
  <c r="F39" i="1"/>
  <c r="H45" i="1"/>
  <c r="H43" i="1"/>
  <c r="F38" i="1"/>
  <c r="H38" i="1" s="1"/>
  <c r="H47" i="1"/>
  <c r="F107" i="1"/>
  <c r="H107" i="1" s="1"/>
  <c r="F83" i="1"/>
  <c r="H83" i="1" s="1"/>
  <c r="F93" i="1"/>
  <c r="H93" i="1" s="1"/>
  <c r="I107" i="1" l="1"/>
  <c r="F123" i="1"/>
  <c r="H123" i="1" s="1"/>
  <c r="F102" i="1"/>
  <c r="H102" i="1" s="1"/>
  <c r="F129" i="1"/>
  <c r="H129" i="1" s="1"/>
  <c r="I89" i="1" l="1"/>
  <c r="F54" i="1" l="1"/>
  <c r="H54" i="1" s="1"/>
  <c r="F55" i="1"/>
  <c r="H55" i="1" s="1"/>
  <c r="F92" i="1"/>
  <c r="H92" i="1" s="1"/>
  <c r="F91" i="1"/>
  <c r="H91" i="1" s="1"/>
  <c r="F88" i="1"/>
  <c r="F87" i="1"/>
  <c r="H87" i="1" s="1"/>
  <c r="H86" i="1"/>
  <c r="F85" i="1"/>
  <c r="H85" i="1" s="1"/>
  <c r="F94" i="1"/>
  <c r="H94" i="1" s="1"/>
  <c r="F71" i="1"/>
  <c r="H71" i="1" s="1"/>
  <c r="H88" i="1" l="1"/>
  <c r="I88" i="1" s="1"/>
  <c r="I71" i="1"/>
  <c r="I87" i="1"/>
  <c r="I91" i="1"/>
  <c r="I92" i="1"/>
  <c r="F40" i="1"/>
  <c r="H40" i="1" s="1"/>
  <c r="F73" i="1"/>
  <c r="H73" i="1" s="1"/>
  <c r="H152" i="1"/>
  <c r="F75" i="1"/>
  <c r="H75" i="1" s="1"/>
  <c r="H64" i="1"/>
  <c r="I64" i="1" s="1"/>
  <c r="H63" i="1"/>
  <c r="H62" i="1"/>
  <c r="H60" i="1"/>
  <c r="H59" i="1"/>
  <c r="F20" i="1" l="1"/>
  <c r="H20" i="1" s="1"/>
  <c r="F19" i="1"/>
  <c r="H19" i="1" s="1"/>
  <c r="F148" i="1"/>
  <c r="H148" i="1" s="1"/>
  <c r="F42" i="1"/>
  <c r="H42" i="1" s="1"/>
  <c r="F37" i="1"/>
  <c r="H37" i="1" s="1"/>
  <c r="F44" i="1"/>
  <c r="H44" i="1" s="1"/>
  <c r="H149" i="1"/>
  <c r="I19" i="1" l="1"/>
  <c r="I20" i="1"/>
  <c r="H27" i="1" l="1"/>
  <c r="F41" i="1"/>
  <c r="H41" i="1" s="1"/>
  <c r="F65" i="1"/>
  <c r="F150" i="1"/>
  <c r="H150" i="1" s="1"/>
  <c r="F145" i="1"/>
  <c r="H145" i="1" s="1"/>
  <c r="F100" i="1"/>
  <c r="H100" i="1" s="1"/>
  <c r="F84" i="1"/>
  <c r="H84" i="1" s="1"/>
  <c r="F121" i="1"/>
  <c r="H121" i="1" s="1"/>
  <c r="F144" i="1"/>
  <c r="H144" i="1" s="1"/>
  <c r="H151" i="1"/>
  <c r="H65" i="1" l="1"/>
  <c r="I65" i="1" s="1"/>
  <c r="I85" i="1"/>
  <c r="I100" i="1"/>
  <c r="I150" i="1"/>
  <c r="I38" i="1"/>
  <c r="F156" i="1"/>
  <c r="H156" i="1" s="1"/>
  <c r="I45" i="1" l="1"/>
  <c r="I156" i="1"/>
  <c r="I37" i="1"/>
  <c r="I39" i="1"/>
  <c r="I59" i="1"/>
  <c r="I60" i="1"/>
  <c r="I121" i="1"/>
  <c r="I84" i="1" l="1"/>
  <c r="I86" i="1"/>
  <c r="I94" i="1"/>
  <c r="I67" i="1"/>
  <c r="F117" i="1"/>
  <c r="I66" i="1" l="1"/>
  <c r="I75" i="1"/>
  <c r="I155" i="1"/>
  <c r="I154" i="1"/>
  <c r="I151" i="1" l="1"/>
  <c r="F70" i="1"/>
  <c r="F119" i="1"/>
  <c r="I122" i="1"/>
  <c r="I119" i="1" l="1"/>
  <c r="I149" i="1"/>
  <c r="I54" i="1"/>
  <c r="F153" i="1"/>
  <c r="H153" i="1" s="1"/>
  <c r="I44" i="1"/>
  <c r="I153" i="1" l="1"/>
  <c r="I48" i="1"/>
  <c r="I27" i="1" l="1"/>
  <c r="I47" i="1"/>
  <c r="I83" i="1"/>
  <c r="I41" i="1"/>
  <c r="I40" i="1"/>
  <c r="I43" i="1"/>
  <c r="I42" i="1"/>
  <c r="I112" i="1"/>
  <c r="I144" i="1"/>
  <c r="F143" i="1"/>
  <c r="I143" i="1" s="1"/>
  <c r="I93" i="1"/>
  <c r="I96" i="1" l="1"/>
  <c r="I102" i="1"/>
  <c r="I104" i="1" s="1"/>
  <c r="I146" i="1"/>
  <c r="I145" i="1"/>
  <c r="F61" i="1" l="1"/>
  <c r="H61" i="1" s="1"/>
  <c r="I117" i="1" l="1"/>
  <c r="I55" i="1" l="1"/>
  <c r="I109" i="1"/>
  <c r="I73" i="1"/>
  <c r="I106" i="1"/>
  <c r="I70" i="1"/>
  <c r="I58" i="1"/>
  <c r="I63" i="1"/>
  <c r="I62" i="1"/>
  <c r="I124" i="1"/>
  <c r="I123" i="1"/>
  <c r="I152" i="1"/>
  <c r="I115" i="1" l="1"/>
  <c r="I34" i="1"/>
  <c r="I148" i="1"/>
  <c r="I56" i="1" l="1"/>
  <c r="I129" i="1" l="1"/>
  <c r="I158" i="1" l="1"/>
  <c r="I126" i="1"/>
  <c r="I140" i="1"/>
  <c r="I141" i="1" s="1"/>
  <c r="I61" i="1" l="1"/>
  <c r="I80" i="1" s="1"/>
  <c r="I125" i="1" l="1"/>
  <c r="I127" i="1" s="1"/>
  <c r="I133" i="1" l="1"/>
  <c r="I137" i="1" s="1"/>
  <c r="I130" i="1"/>
  <c r="I131" i="1" s="1"/>
  <c r="I160" i="1" l="1"/>
</calcChain>
</file>

<file path=xl/sharedStrings.xml><?xml version="1.0" encoding="utf-8"?>
<sst xmlns="http://schemas.openxmlformats.org/spreadsheetml/2006/main" count="557" uniqueCount="232">
  <si>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</si>
  <si>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</si>
  <si>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</si>
  <si>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</si>
  <si>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</si>
  <si>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</si>
  <si>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</si>
  <si>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</si>
  <si>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</si>
  <si>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</si>
  <si>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</si>
  <si>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</si>
  <si>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</si>
  <si>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</si>
  <si>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</si>
  <si>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</si>
  <si>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</si>
  <si>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</si>
  <si>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</si>
  <si>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</si>
  <si>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</si>
  <si>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</si>
  <si>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</si>
  <si>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</si>
  <si>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</si>
  <si>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</si>
  <si>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</si>
  <si>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</si>
  <si>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</si>
  <si>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</si>
  <si>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</si>
  <si>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</si>
  <si>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</si>
  <si>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</si>
  <si>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</si>
  <si>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</si>
  <si>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</si>
  <si>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</si>
  <si>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</si>
  <si>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</si>
  <si>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</si>
  <si>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</si>
  <si>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</si>
  <si>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</si>
  <si>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</si>
  <si>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</si>
  <si>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</si>
  <si>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</si>
  <si>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</si>
  <si>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</si>
  <si>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</si>
  <si>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</si>
  <si>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</si>
  <si>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</si>
  <si>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</si>
  <si>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</si>
  <si>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</si>
  <si>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</si>
  <si>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</si>
  <si>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</si>
  <si>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</si>
  <si>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</si>
  <si>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</si>
  <si>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</si>
  <si>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</si>
  <si>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</si>
  <si>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</si>
  <si>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</si>
  <si>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</si>
  <si>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</si>
  <si>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</si>
  <si>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</si>
  <si>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</si>
  <si>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</si>
  <si>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</si>
  <si>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</si>
  <si>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</si>
  <si>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</si>
  <si>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</si>
  <si>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</si>
  <si>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</si>
  <si>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</si>
  <si>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</si>
  <si>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</si>
  <si>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</si>
  <si>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</si>
  <si>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</si>
  <si>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</si>
  <si>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</si>
  <si>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</si>
  <si>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</si>
  <si>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</si>
  <si>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</si>
  <si>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</si>
  <si>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</si>
  <si>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</si>
  <si>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</si>
  <si>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</si>
  <si>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</si>
  <si>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</si>
  <si>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</si>
  <si>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</si>
  <si>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</si>
  <si>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</si>
  <si>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</si>
  <si>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</si>
  <si>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</si>
  <si>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</si>
  <si>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</si>
  <si>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</si>
  <si>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</si>
  <si>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</si>
  <si>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</si>
  <si>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</si>
  <si>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</si>
  <si>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</si>
  <si>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</si>
  <si>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</si>
  <si>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</si>
  <si>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</si>
  <si>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</si>
  <si>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</si>
  <si>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</si>
  <si>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</si>
  <si>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</si>
  <si>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</si>
  <si>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</si>
  <si>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</si>
  <si>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</si>
  <si>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</si>
  <si>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</si>
  <si>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</si>
  <si>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</si>
  <si>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</si>
  <si>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</si>
  <si>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</si>
  <si>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</si>
  <si>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</si>
  <si>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</si>
  <si>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</si>
  <si>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</si>
  <si>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</si>
  <si>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</si>
  <si>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</si>
  <si>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</si>
  <si>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</si>
  <si>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1 врезка</t>
  </si>
  <si>
    <t>очистка канализационной сети дворовой</t>
  </si>
  <si>
    <t>установка хомутов диаметром трубопроводов до 100мм</t>
  </si>
  <si>
    <t>прочистка фильтров диам. 80мм</t>
  </si>
  <si>
    <t>МОП</t>
  </si>
  <si>
    <t>смена вентилей и клапанов обратных муфтовых диам. до 20мм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</si>
  <si>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</si>
  <si>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</si>
  <si>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</si>
  <si>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</si>
  <si>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</si>
  <si>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</si>
  <si>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</si>
  <si>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</si>
  <si>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</si>
  <si>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</si>
  <si>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</si>
  <si>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</si>
  <si>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</si>
  <si>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</si>
  <si>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</si>
  <si>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врезка в действующие сети трубопроводов отопления и водоснабжения диам. 25мм</t>
  </si>
  <si>
    <t>ремонт межпанельных швов без вскрытия</t>
  </si>
  <si>
    <t>ремонт мягкого покрытия кровли в 1 слой</t>
  </si>
  <si>
    <t>установка фекальных насосов</t>
  </si>
  <si>
    <t>изготовление элементов и сборка узлов стальных трубопроводов диам.50мм(катушка)</t>
  </si>
  <si>
    <t>ремонт металлических ограждений средний</t>
  </si>
  <si>
    <t xml:space="preserve">ремонт/частичная замена поврежденных участков </t>
  </si>
  <si>
    <t>установка решетки</t>
  </si>
  <si>
    <t>кг</t>
  </si>
  <si>
    <t>устройство перегородок на однорядном металлическом каркасе с обшивкой гипсокартонными листами</t>
  </si>
  <si>
    <t xml:space="preserve"> смена кранов на шаровые краны диам.15,20,25мм</t>
  </si>
  <si>
    <t>плитки</t>
  </si>
  <si>
    <t>м2 остекления</t>
  </si>
  <si>
    <t>смена трубопроводов из полиэтиленовых труб диам. 50мм</t>
  </si>
  <si>
    <t>окраска масляными составами ранее окрашенных металлических решеток и оград без рельефа за 1 раз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</si>
  <si>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</si>
  <si>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</si>
  <si>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</si>
  <si>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заделка окон фанерой</t>
  </si>
  <si>
    <t>ремонт дверного доводчика</t>
  </si>
  <si>
    <t>смена дверных приборов шпингалеты</t>
  </si>
  <si>
    <t>установка ящиков почтовых стальных,окрашенных эмалью с креплением к стенам лестиничных клеток</t>
  </si>
  <si>
    <t xml:space="preserve">демонтаж светильников </t>
  </si>
  <si>
    <t>смена замков на электрические щитки</t>
  </si>
  <si>
    <t>установка элеваторов после прочистки</t>
  </si>
  <si>
    <t>проверка на прогрев отопительных приборов с регулировкой</t>
  </si>
  <si>
    <t>установка дверного доводчика</t>
  </si>
  <si>
    <t>ремонт и восстановление уплотнения стыков прокладками ПРП в 1 ряд в стенах,оконных, дверных блоках насухо</t>
  </si>
  <si>
    <t>м шва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</si>
  <si>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</si>
  <si>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9,корпус 2   на 2024 г.
</t>
  </si>
  <si>
    <t>контейнер ТКО-0,4м3 с рышкой</t>
  </si>
  <si>
    <t>смена внутренних трубопроводов из стальных труб диам. 25мм</t>
  </si>
  <si>
    <t>смена кранов на шаровые краны диам.15,20,25мм</t>
  </si>
  <si>
    <t>ремонт дверных полотен со сменой брусков обвязки горизонтальных с числом сопряжений 2</t>
  </si>
  <si>
    <t>выполнение работ по шунтированию стены вокруг окон кв 11</t>
  </si>
  <si>
    <t>смена кранов на шаровые краны диам15,50мм</t>
  </si>
  <si>
    <t>ремонт мест просадок бетоном</t>
  </si>
  <si>
    <t>смена дверных приборов петли</t>
  </si>
  <si>
    <t>смена замков навесных</t>
  </si>
  <si>
    <t>установка урны</t>
  </si>
  <si>
    <t>огрунтовка ранее окрашенных фасадов под окраску</t>
  </si>
  <si>
    <t>улучшенная масляная окраска ранее окрашенных фасадов с расчисткой старой краски до 35%</t>
  </si>
  <si>
    <t>окраска масляными составами ранее окрашенных поверхностей труб стальных за 1 раз</t>
  </si>
  <si>
    <t>окраска масляными составами ранее окрашенных поверхностей металлических площадью до 0, 25м2 отопления  за 1 раз</t>
  </si>
  <si>
    <t>проверка герметичности,промывка и гидравлические испытания системы отопления до 200мм</t>
  </si>
  <si>
    <t>вывоз веток,листвы и порубочных остатков</t>
  </si>
  <si>
    <t>врезка в действующие сети трубопроводов отопления и водоснабжения диам. 20мм</t>
  </si>
  <si>
    <t>смена сгонов у трубопроводов диам. 20мм</t>
  </si>
  <si>
    <t>смена задвижек диам 50мм</t>
  </si>
  <si>
    <t>смена задвижек диам 100мм</t>
  </si>
  <si>
    <t>демонтаж почтовых ящиков</t>
  </si>
  <si>
    <t>изоляция трубопроводов изделиями из вспененного каучука,вспененного полэтилена насухо трубками</t>
  </si>
  <si>
    <t>смена стекол толщиной 4-6 мм при площади стекла до 0,5м2</t>
  </si>
  <si>
    <t>ремонт и восстановление герметизации коробок и окон герметиками</t>
  </si>
  <si>
    <t>усиление свариных швов наплавкой</t>
  </si>
  <si>
    <t>слив и наполнение водой системы отопления с осмотром системы</t>
  </si>
  <si>
    <t>м3 объема здания</t>
  </si>
  <si>
    <t>вырезка сухих ветвей деревьев лиственных пород диаметром до 350мм при количестве срезанных ветвей до 5 с вывозом мусора контейнером</t>
  </si>
  <si>
    <t>дерева</t>
  </si>
  <si>
    <t>услуги видеонаблюдения</t>
  </si>
  <si>
    <t>месяц</t>
  </si>
  <si>
    <t>лифт</t>
  </si>
  <si>
    <t>устройство покрытий из линолеума насухо из готовых ковров на комнату</t>
  </si>
  <si>
    <t>укладка металлического накладного профиля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</si>
</sst>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3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8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topLeftCell="D151" zoomScale="91" zoomScaleNormal="91" workbookViewId="0">
      <selection activeCell="M6" sqref="M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2" width="9.5703125" style="1" bestFit="1" customWidth="1"/>
    <col min="13" max="16384" width="8.85546875" style="1"/>
  </cols>
  <sheetData>
    <row r="1" spans="1:12" ht="51.75" customHeight="1" x14ac:dyDescent="0.25">
      <c r="I1" s="79" t="s">
        <v>93</v>
      </c>
      <c r="J1" s="79"/>
    </row>
    <row r="2" spans="1:12" ht="70.5" customHeight="1" x14ac:dyDescent="0.25">
      <c r="A2" s="74" t="s">
        <v>197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</row>
    <row r="3" spans="1:12" ht="75" x14ac:dyDescent="0.25">
      <c r="A3" s="20" t="s">
        <v>79</v>
      </c>
      <c r="B3" s="3"/>
      <c r="C3" s="3"/>
      <c r="D3" s="20" t="s">
        <v>97</v>
      </c>
      <c r="E3" s="20" t="s">
        <v>101</v>
      </c>
      <c r="F3" s="21" t="s">
        <v>99</v>
      </c>
      <c r="G3" s="21" t="s">
        <v>78</v>
      </c>
      <c r="H3" s="21" t="s">
        <v>77</v>
      </c>
      <c r="I3" s="21" t="s">
        <v>98</v>
      </c>
      <c r="J3" s="21" t="s">
        <v>100</v>
      </c>
      <c r="K3" s="2"/>
      <c r="L3" s="2"/>
    </row>
    <row r="4" spans="1:12" ht="18.75" x14ac:dyDescent="0.3">
      <c r="A4" s="80" t="s">
        <v>85</v>
      </c>
      <c r="B4" s="81"/>
      <c r="C4" s="81"/>
      <c r="D4" s="81"/>
      <c r="E4" s="81"/>
      <c r="F4" s="81"/>
      <c r="G4" s="82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169</v>
      </c>
      <c r="E5" s="41" t="s">
        <v>137</v>
      </c>
      <c r="F5" s="41" t="s">
        <v>137</v>
      </c>
      <c r="G5" s="13" t="s">
        <v>110</v>
      </c>
      <c r="H5" s="41"/>
      <c r="I5" s="41" t="s">
        <v>137</v>
      </c>
      <c r="J5" s="13"/>
      <c r="K5" s="2"/>
      <c r="L5" s="2"/>
    </row>
    <row r="6" spans="1:12" ht="18.75" x14ac:dyDescent="0.3">
      <c r="A6" s="6"/>
      <c r="B6" s="5"/>
      <c r="C6" s="4"/>
      <c r="D6" s="15" t="s">
        <v>117</v>
      </c>
      <c r="E6" s="41" t="s">
        <v>137</v>
      </c>
      <c r="F6" s="41" t="s">
        <v>137</v>
      </c>
      <c r="G6" s="13" t="s">
        <v>110</v>
      </c>
      <c r="H6" s="41"/>
      <c r="I6" s="41" t="s">
        <v>137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173</v>
      </c>
      <c r="E7" s="41" t="s">
        <v>137</v>
      </c>
      <c r="F7" s="41" t="s">
        <v>137</v>
      </c>
      <c r="G7" s="13" t="s">
        <v>30</v>
      </c>
      <c r="H7" s="41"/>
      <c r="I7" s="41" t="s">
        <v>137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137</v>
      </c>
      <c r="F8" s="41" t="s">
        <v>137</v>
      </c>
      <c r="G8" s="13" t="s">
        <v>30</v>
      </c>
      <c r="H8" s="41"/>
      <c r="I8" s="41" t="s">
        <v>137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137</v>
      </c>
      <c r="F9" s="41" t="s">
        <v>137</v>
      </c>
      <c r="G9" s="13" t="s">
        <v>110</v>
      </c>
      <c r="H9" s="41"/>
      <c r="I9" s="41" t="s">
        <v>137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137</v>
      </c>
      <c r="F10" s="41" t="s">
        <v>137</v>
      </c>
      <c r="G10" s="13" t="s">
        <v>30</v>
      </c>
      <c r="H10" s="41"/>
      <c r="I10" s="41" t="s">
        <v>137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84</v>
      </c>
      <c r="E11" s="41" t="s">
        <v>137</v>
      </c>
      <c r="F11" s="41" t="s">
        <v>137</v>
      </c>
      <c r="G11" s="13" t="s">
        <v>31</v>
      </c>
      <c r="H11" s="41"/>
      <c r="I11" s="41" t="s">
        <v>137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137</v>
      </c>
      <c r="F12" s="41" t="s">
        <v>137</v>
      </c>
      <c r="G12" s="14" t="s">
        <v>31</v>
      </c>
      <c r="H12" s="41"/>
      <c r="I12" s="41" t="s">
        <v>137</v>
      </c>
      <c r="J12" s="13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50</v>
      </c>
      <c r="E13" s="41" t="s">
        <v>137</v>
      </c>
      <c r="F13" s="41" t="s">
        <v>137</v>
      </c>
      <c r="G13" s="13" t="s">
        <v>30</v>
      </c>
      <c r="H13" s="41"/>
      <c r="I13" s="41" t="s">
        <v>137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137</v>
      </c>
      <c r="F14" s="41" t="s">
        <v>137</v>
      </c>
      <c r="G14" s="13" t="s">
        <v>30</v>
      </c>
      <c r="H14" s="41"/>
      <c r="I14" s="41" t="s">
        <v>137</v>
      </c>
      <c r="J14" s="13"/>
      <c r="K14" s="2"/>
      <c r="L14" s="2"/>
    </row>
    <row r="15" spans="1:12" ht="18.75" x14ac:dyDescent="0.3">
      <c r="A15" s="80" t="s">
        <v>54</v>
      </c>
      <c r="B15" s="81"/>
      <c r="C15" s="81"/>
      <c r="D15" s="81"/>
      <c r="E15" s="81"/>
      <c r="F15" s="81"/>
      <c r="G15" s="82"/>
      <c r="H15" s="14"/>
      <c r="I15" s="70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92</v>
      </c>
      <c r="E16" s="41"/>
      <c r="F16" s="41"/>
      <c r="G16" s="14" t="s">
        <v>52</v>
      </c>
      <c r="H16" s="41"/>
      <c r="I16" s="41"/>
      <c r="J16" s="13"/>
      <c r="L16" s="2"/>
    </row>
    <row r="17" spans="1:12" ht="18.75" x14ac:dyDescent="0.3">
      <c r="A17" s="6" t="s">
        <v>13</v>
      </c>
      <c r="B17" s="5"/>
      <c r="C17" s="4"/>
      <c r="D17" s="4" t="s">
        <v>40</v>
      </c>
      <c r="E17" s="41"/>
      <c r="F17" s="41"/>
      <c r="G17" s="14" t="s">
        <v>51</v>
      </c>
      <c r="H17" s="41"/>
      <c r="I17" s="41" t="s">
        <v>137</v>
      </c>
      <c r="J17" s="13"/>
      <c r="L17" s="2"/>
    </row>
    <row r="18" spans="1:12" ht="18.75" x14ac:dyDescent="0.3">
      <c r="A18" s="6" t="s">
        <v>9</v>
      </c>
      <c r="B18" s="5"/>
      <c r="C18" s="4"/>
      <c r="D18" s="4" t="s">
        <v>45</v>
      </c>
      <c r="E18" s="41"/>
      <c r="F18" s="41"/>
      <c r="G18" s="14" t="s">
        <v>139</v>
      </c>
      <c r="H18" s="41"/>
      <c r="I18" s="41" t="s">
        <v>137</v>
      </c>
      <c r="J18" s="13"/>
      <c r="K18" s="2"/>
      <c r="L18" s="2"/>
    </row>
    <row r="19" spans="1:12" ht="32.25" x14ac:dyDescent="0.3">
      <c r="A19" s="6"/>
      <c r="B19" s="5"/>
      <c r="C19" s="4"/>
      <c r="D19" s="15" t="s">
        <v>208</v>
      </c>
      <c r="E19" s="41"/>
      <c r="F19" s="41">
        <f>64.8</f>
        <v>64.8</v>
      </c>
      <c r="G19" s="14" t="s">
        <v>110</v>
      </c>
      <c r="H19" s="45">
        <f>5629.2/F19</f>
        <v>86.870370370370367</v>
      </c>
      <c r="I19" s="71">
        <f>F19*H19</f>
        <v>5629.2</v>
      </c>
      <c r="J19" s="13" t="s">
        <v>115</v>
      </c>
      <c r="K19" s="2"/>
      <c r="L19" s="2"/>
    </row>
    <row r="20" spans="1:12" ht="48" x14ac:dyDescent="0.3">
      <c r="A20" s="6"/>
      <c r="B20" s="5"/>
      <c r="C20" s="4"/>
      <c r="D20" s="15" t="s">
        <v>209</v>
      </c>
      <c r="E20" s="41"/>
      <c r="F20" s="41">
        <f>64.8</f>
        <v>64.8</v>
      </c>
      <c r="G20" s="14" t="s">
        <v>110</v>
      </c>
      <c r="H20" s="45">
        <f>36275.2/F20</f>
        <v>559.80246913580243</v>
      </c>
      <c r="I20" s="71">
        <f>F20*H20</f>
        <v>36275.199999999997</v>
      </c>
      <c r="J20" s="13" t="s">
        <v>115</v>
      </c>
      <c r="K20" s="2"/>
      <c r="L20" s="2"/>
    </row>
    <row r="21" spans="1:12" ht="32.25" x14ac:dyDescent="0.3">
      <c r="A21" s="6"/>
      <c r="B21" s="5"/>
      <c r="C21" s="4"/>
      <c r="D21" s="15" t="s">
        <v>156</v>
      </c>
      <c r="E21" s="41"/>
      <c r="F21" s="41"/>
      <c r="G21" s="14" t="s">
        <v>87</v>
      </c>
      <c r="H21" s="41"/>
      <c r="I21" s="41" t="s">
        <v>137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/>
      <c r="F22" s="41"/>
      <c r="G22" s="14" t="s">
        <v>139</v>
      </c>
      <c r="H22" s="41"/>
      <c r="I22" s="41" t="s">
        <v>137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174</v>
      </c>
      <c r="E23" s="41"/>
      <c r="F23" s="41"/>
      <c r="G23" s="14" t="s">
        <v>175</v>
      </c>
      <c r="H23" s="41"/>
      <c r="I23" s="41"/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137</v>
      </c>
      <c r="F24" s="41" t="s">
        <v>137</v>
      </c>
      <c r="G24" s="13" t="s">
        <v>30</v>
      </c>
      <c r="H24" s="41"/>
      <c r="I24" s="41" t="s">
        <v>137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39</v>
      </c>
      <c r="E25" s="41" t="s">
        <v>137</v>
      </c>
      <c r="F25" s="41" t="s">
        <v>137</v>
      </c>
      <c r="G25" s="14" t="s">
        <v>31</v>
      </c>
      <c r="H25" s="41"/>
      <c r="I25" s="41" t="s">
        <v>137</v>
      </c>
      <c r="J25" s="13"/>
      <c r="K25" s="2"/>
      <c r="L25" s="2"/>
    </row>
    <row r="26" spans="1:12" ht="18.75" x14ac:dyDescent="0.3">
      <c r="A26" s="6" t="s">
        <v>53</v>
      </c>
      <c r="B26" s="5"/>
      <c r="C26" s="4"/>
      <c r="D26" s="15" t="s">
        <v>168</v>
      </c>
      <c r="E26" s="41" t="s">
        <v>137</v>
      </c>
      <c r="F26" s="41" t="s">
        <v>137</v>
      </c>
      <c r="G26" s="14" t="s">
        <v>30</v>
      </c>
      <c r="H26" s="41"/>
      <c r="I26" s="41" t="s">
        <v>137</v>
      </c>
      <c r="J26" s="13"/>
      <c r="L26" s="2"/>
    </row>
    <row r="27" spans="1:12" ht="32.25" x14ac:dyDescent="0.3">
      <c r="A27" s="6"/>
      <c r="B27" s="5"/>
      <c r="C27" s="4"/>
      <c r="D27" s="15" t="s">
        <v>202</v>
      </c>
      <c r="E27" s="41" t="s">
        <v>137</v>
      </c>
      <c r="F27" s="41">
        <v>1</v>
      </c>
      <c r="G27" s="14" t="s">
        <v>139</v>
      </c>
      <c r="H27" s="41">
        <f>29070/F27</f>
        <v>29070</v>
      </c>
      <c r="I27" s="57">
        <f>F27*H27</f>
        <v>29070</v>
      </c>
      <c r="J27" s="13" t="s">
        <v>120</v>
      </c>
      <c r="L27" s="2"/>
    </row>
    <row r="28" spans="1:12" ht="32.25" x14ac:dyDescent="0.3">
      <c r="A28" s="6" t="s">
        <v>55</v>
      </c>
      <c r="B28" s="5"/>
      <c r="C28" s="4"/>
      <c r="D28" s="15" t="s">
        <v>91</v>
      </c>
      <c r="E28" s="41" t="s">
        <v>137</v>
      </c>
      <c r="F28" s="41" t="s">
        <v>137</v>
      </c>
      <c r="G28" s="14" t="s">
        <v>51</v>
      </c>
      <c r="H28" s="41"/>
      <c r="I28" s="41" t="s">
        <v>137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90</v>
      </c>
      <c r="E29" s="41" t="s">
        <v>137</v>
      </c>
      <c r="F29" s="41" t="s">
        <v>137</v>
      </c>
      <c r="G29" s="14" t="s">
        <v>52</v>
      </c>
      <c r="H29" s="41"/>
      <c r="I29" s="41" t="s">
        <v>137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41</v>
      </c>
      <c r="E30" s="41" t="s">
        <v>137</v>
      </c>
      <c r="F30" s="41" t="s">
        <v>137</v>
      </c>
      <c r="G30" s="14" t="s">
        <v>52</v>
      </c>
      <c r="H30" s="41"/>
      <c r="I30" s="41" t="s">
        <v>137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42</v>
      </c>
      <c r="E31" s="41" t="s">
        <v>137</v>
      </c>
      <c r="F31" s="41" t="s">
        <v>137</v>
      </c>
      <c r="G31" s="14" t="s">
        <v>51</v>
      </c>
      <c r="H31" s="41"/>
      <c r="I31" s="41" t="s">
        <v>137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43</v>
      </c>
      <c r="E32" s="41" t="s">
        <v>137</v>
      </c>
      <c r="F32" s="41" t="s">
        <v>137</v>
      </c>
      <c r="G32" s="13" t="s">
        <v>30</v>
      </c>
      <c r="H32" s="41"/>
      <c r="I32" s="41" t="s">
        <v>137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44</v>
      </c>
      <c r="E33" s="41" t="s">
        <v>137</v>
      </c>
      <c r="F33" s="41" t="s">
        <v>137</v>
      </c>
      <c r="G33" s="14" t="s">
        <v>52</v>
      </c>
      <c r="H33" s="41"/>
      <c r="I33" s="41" t="s">
        <v>137</v>
      </c>
      <c r="J33" s="13"/>
      <c r="L33" s="2"/>
    </row>
    <row r="34" spans="1:12" ht="18.75" x14ac:dyDescent="0.3">
      <c r="A34" s="28"/>
      <c r="B34" s="22"/>
      <c r="C34" s="22"/>
      <c r="D34" s="22"/>
      <c r="E34" s="44"/>
      <c r="F34" s="44"/>
      <c r="G34" s="12"/>
      <c r="H34" s="41"/>
      <c r="I34" s="41">
        <f>SUM(I16:I33)</f>
        <v>70974.399999999994</v>
      </c>
      <c r="J34" s="13"/>
      <c r="L34" s="2"/>
    </row>
    <row r="35" spans="1:12" ht="24" customHeight="1" x14ac:dyDescent="0.3">
      <c r="A35" s="80" t="s">
        <v>83</v>
      </c>
      <c r="B35" s="81"/>
      <c r="C35" s="81"/>
      <c r="D35" s="81"/>
      <c r="E35" s="81"/>
      <c r="F35" s="81"/>
      <c r="G35" s="82"/>
      <c r="H35" s="14"/>
      <c r="I35" s="5"/>
      <c r="J35" s="13"/>
      <c r="L35" s="2"/>
    </row>
    <row r="36" spans="1:12" ht="32.25" customHeight="1" x14ac:dyDescent="0.3">
      <c r="A36" s="6" t="s">
        <v>47</v>
      </c>
      <c r="B36" s="5"/>
      <c r="C36" s="4"/>
      <c r="D36" s="15" t="s">
        <v>166</v>
      </c>
      <c r="E36" s="41"/>
      <c r="F36" s="41"/>
      <c r="G36" s="38" t="s">
        <v>31</v>
      </c>
      <c r="H36" s="45"/>
      <c r="I36" s="61"/>
      <c r="J36" s="13"/>
      <c r="L36" s="2"/>
    </row>
    <row r="37" spans="1:12" ht="32.25" customHeight="1" x14ac:dyDescent="0.3">
      <c r="A37" s="6"/>
      <c r="B37" s="5"/>
      <c r="C37" s="4"/>
      <c r="D37" s="15" t="s">
        <v>205</v>
      </c>
      <c r="E37" s="41"/>
      <c r="F37" s="41">
        <f>2</f>
        <v>2</v>
      </c>
      <c r="G37" s="38" t="s">
        <v>31</v>
      </c>
      <c r="H37" s="45">
        <f>2054/F37</f>
        <v>1027</v>
      </c>
      <c r="I37" s="57">
        <f>F37*H37</f>
        <v>2054</v>
      </c>
      <c r="J37" s="13" t="s">
        <v>118</v>
      </c>
      <c r="L37" s="2"/>
    </row>
    <row r="38" spans="1:12" ht="32.25" customHeight="1" x14ac:dyDescent="0.3">
      <c r="A38" s="6"/>
      <c r="B38" s="5"/>
      <c r="C38" s="4"/>
      <c r="D38" s="15" t="s">
        <v>194</v>
      </c>
      <c r="E38" s="41"/>
      <c r="F38" s="41">
        <f>5+12</f>
        <v>17</v>
      </c>
      <c r="G38" s="13" t="s">
        <v>140</v>
      </c>
      <c r="H38" s="65">
        <f>(1349.4+3250)/F38</f>
        <v>270.55294117647054</v>
      </c>
      <c r="I38" s="67">
        <f>F38*H38</f>
        <v>4599.3999999999996</v>
      </c>
      <c r="J38" s="13" t="s">
        <v>118</v>
      </c>
      <c r="L38" s="2"/>
    </row>
    <row r="39" spans="1:12" ht="32.25" customHeight="1" x14ac:dyDescent="0.3">
      <c r="A39" s="6"/>
      <c r="B39" s="5"/>
      <c r="C39" s="4"/>
      <c r="D39" s="15" t="s">
        <v>193</v>
      </c>
      <c r="E39" s="41"/>
      <c r="F39" s="41">
        <f>1</f>
        <v>1</v>
      </c>
      <c r="G39" s="38" t="s">
        <v>31</v>
      </c>
      <c r="H39" s="45">
        <f>3227.6</f>
        <v>3227.6</v>
      </c>
      <c r="I39" s="57">
        <f>F39*H39</f>
        <v>3227.6</v>
      </c>
      <c r="J39" s="13" t="s">
        <v>115</v>
      </c>
      <c r="L39" s="2"/>
    </row>
    <row r="40" spans="1:12" ht="32.25" customHeight="1" x14ac:dyDescent="0.3">
      <c r="A40" s="6"/>
      <c r="B40" s="5"/>
      <c r="C40" s="4"/>
      <c r="D40" s="15" t="s">
        <v>186</v>
      </c>
      <c r="E40" s="41"/>
      <c r="F40" s="41">
        <f>3</f>
        <v>3</v>
      </c>
      <c r="G40" s="38" t="s">
        <v>31</v>
      </c>
      <c r="H40" s="41">
        <f>1074/F40</f>
        <v>358</v>
      </c>
      <c r="I40" s="57">
        <f>F40*H40</f>
        <v>1074</v>
      </c>
      <c r="J40" s="13" t="s">
        <v>120</v>
      </c>
      <c r="L40" s="2"/>
    </row>
    <row r="41" spans="1:12" ht="32.25" customHeight="1" x14ac:dyDescent="0.3">
      <c r="A41" s="6"/>
      <c r="B41" s="5"/>
      <c r="C41" s="4"/>
      <c r="D41" s="15" t="s">
        <v>201</v>
      </c>
      <c r="E41" s="41"/>
      <c r="F41" s="41">
        <f>2</f>
        <v>2</v>
      </c>
      <c r="G41" s="13" t="s">
        <v>31</v>
      </c>
      <c r="H41" s="65">
        <f>5934.4/F41</f>
        <v>2967.2</v>
      </c>
      <c r="I41" s="64">
        <f t="shared" ref="I41:I44" si="0">F41*H41</f>
        <v>5934.4</v>
      </c>
      <c r="J41" s="13" t="s">
        <v>120</v>
      </c>
      <c r="K41" s="63"/>
      <c r="L41" s="2"/>
    </row>
    <row r="42" spans="1:12" ht="32.25" customHeight="1" x14ac:dyDescent="0.3">
      <c r="A42" s="6"/>
      <c r="B42" s="5"/>
      <c r="C42" s="4"/>
      <c r="D42" s="15" t="s">
        <v>206</v>
      </c>
      <c r="E42" s="41"/>
      <c r="F42" s="41">
        <f>5</f>
        <v>5</v>
      </c>
      <c r="G42" s="38" t="s">
        <v>31</v>
      </c>
      <c r="H42" s="45">
        <f>6575.8/F42</f>
        <v>1315.16</v>
      </c>
      <c r="I42" s="57">
        <f t="shared" si="0"/>
        <v>6575.8</v>
      </c>
      <c r="J42" s="13" t="s">
        <v>115</v>
      </c>
      <c r="L42" s="2"/>
    </row>
    <row r="43" spans="1:12" ht="32.25" customHeight="1" x14ac:dyDescent="0.3">
      <c r="A43" s="6"/>
      <c r="B43" s="5"/>
      <c r="C43" s="4"/>
      <c r="D43" s="15" t="s">
        <v>221</v>
      </c>
      <c r="E43" s="41"/>
      <c r="F43" s="41">
        <v>24</v>
      </c>
      <c r="G43" s="38" t="s">
        <v>140</v>
      </c>
      <c r="H43" s="45">
        <f>23205.2/F43</f>
        <v>966.88333333333333</v>
      </c>
      <c r="I43" s="57">
        <f t="shared" si="0"/>
        <v>23205.200000000001</v>
      </c>
      <c r="J43" s="13" t="s">
        <v>142</v>
      </c>
      <c r="L43" s="2"/>
    </row>
    <row r="44" spans="1:12" ht="32.25" customHeight="1" x14ac:dyDescent="0.3">
      <c r="A44" s="6"/>
      <c r="B44" s="5"/>
      <c r="C44" s="4"/>
      <c r="D44" s="15" t="s">
        <v>187</v>
      </c>
      <c r="E44" s="41"/>
      <c r="F44" s="41">
        <f>3</f>
        <v>3</v>
      </c>
      <c r="G44" s="38" t="s">
        <v>31</v>
      </c>
      <c r="H44" s="45">
        <f>4430.4/F44</f>
        <v>1476.8</v>
      </c>
      <c r="I44" s="57">
        <f t="shared" si="0"/>
        <v>4430.3999999999996</v>
      </c>
      <c r="J44" s="13" t="s">
        <v>120</v>
      </c>
      <c r="L44" s="2"/>
    </row>
    <row r="45" spans="1:12" ht="32.25" customHeight="1" x14ac:dyDescent="0.3">
      <c r="A45" s="6"/>
      <c r="B45" s="5"/>
      <c r="C45" s="4"/>
      <c r="D45" s="15" t="s">
        <v>222</v>
      </c>
      <c r="E45" s="41"/>
      <c r="F45" s="41">
        <v>1.5</v>
      </c>
      <c r="G45" s="38" t="s">
        <v>140</v>
      </c>
      <c r="H45" s="45">
        <f>5503/F45</f>
        <v>3668.6666666666665</v>
      </c>
      <c r="I45" s="57">
        <f>F45*H45</f>
        <v>5503</v>
      </c>
      <c r="J45" s="13" t="s">
        <v>118</v>
      </c>
      <c r="L45" s="2"/>
    </row>
    <row r="46" spans="1:12" ht="32.25" x14ac:dyDescent="0.3">
      <c r="A46" s="6" t="s">
        <v>48</v>
      </c>
      <c r="B46" s="5"/>
      <c r="C46" s="4"/>
      <c r="D46" s="15" t="s">
        <v>96</v>
      </c>
      <c r="E46" s="41"/>
      <c r="F46" s="41"/>
      <c r="G46" s="38" t="s">
        <v>179</v>
      </c>
      <c r="H46" s="41"/>
      <c r="I46" s="41"/>
      <c r="J46" s="13"/>
      <c r="L46" s="2"/>
    </row>
    <row r="47" spans="1:12" ht="32.25" x14ac:dyDescent="0.3">
      <c r="A47" s="6"/>
      <c r="B47" s="5"/>
      <c r="C47" s="4"/>
      <c r="D47" s="15" t="s">
        <v>220</v>
      </c>
      <c r="E47" s="41"/>
      <c r="F47" s="41">
        <v>0.32</v>
      </c>
      <c r="G47" s="38" t="s">
        <v>110</v>
      </c>
      <c r="H47" s="41">
        <f>879/F47</f>
        <v>2746.875</v>
      </c>
      <c r="I47" s="57">
        <f>F47*H47</f>
        <v>879</v>
      </c>
      <c r="J47" s="13" t="s">
        <v>120</v>
      </c>
      <c r="L47" s="2"/>
    </row>
    <row r="48" spans="1:12" ht="18.75" x14ac:dyDescent="0.3">
      <c r="A48" s="6"/>
      <c r="B48" s="5"/>
      <c r="C48" s="4"/>
      <c r="D48" s="15" t="s">
        <v>185</v>
      </c>
      <c r="E48" s="41"/>
      <c r="F48" s="41">
        <v>1.05</v>
      </c>
      <c r="G48" s="38" t="s">
        <v>110</v>
      </c>
      <c r="H48" s="45"/>
      <c r="I48" s="57">
        <f>F48*H48</f>
        <v>0</v>
      </c>
      <c r="J48" s="13" t="s">
        <v>120</v>
      </c>
      <c r="L48" s="2"/>
    </row>
    <row r="49" spans="1:12" ht="48" x14ac:dyDescent="0.3">
      <c r="A49" s="6" t="s">
        <v>57</v>
      </c>
      <c r="B49" s="8"/>
      <c r="C49" s="4"/>
      <c r="D49" s="15" t="s">
        <v>176</v>
      </c>
      <c r="E49" s="41" t="s">
        <v>137</v>
      </c>
      <c r="F49" s="41" t="s">
        <v>137</v>
      </c>
      <c r="G49" s="14" t="s">
        <v>110</v>
      </c>
      <c r="H49" s="41"/>
      <c r="I49" s="41" t="s">
        <v>137</v>
      </c>
      <c r="J49" s="13"/>
      <c r="L49" s="2"/>
    </row>
    <row r="50" spans="1:12" ht="18.75" x14ac:dyDescent="0.3">
      <c r="A50" s="6" t="s">
        <v>59</v>
      </c>
      <c r="B50" s="5"/>
      <c r="C50" s="4"/>
      <c r="D50" s="15" t="s">
        <v>49</v>
      </c>
      <c r="E50" s="41"/>
      <c r="F50" s="41"/>
      <c r="G50" s="13" t="s">
        <v>178</v>
      </c>
      <c r="H50" s="41"/>
      <c r="I50" s="41"/>
      <c r="J50" s="13"/>
      <c r="L50" s="2"/>
    </row>
    <row r="51" spans="1:12" ht="32.25" x14ac:dyDescent="0.3">
      <c r="A51" s="6" t="s">
        <v>60</v>
      </c>
      <c r="B51" s="5"/>
      <c r="C51" s="4"/>
      <c r="D51" s="15" t="s">
        <v>62</v>
      </c>
      <c r="E51" s="41" t="s">
        <v>137</v>
      </c>
      <c r="F51" s="41" t="s">
        <v>137</v>
      </c>
      <c r="G51" s="13" t="s">
        <v>30</v>
      </c>
      <c r="H51" s="41"/>
      <c r="I51" s="41" t="s">
        <v>137</v>
      </c>
      <c r="J51" s="13"/>
      <c r="L51" s="2"/>
    </row>
    <row r="52" spans="1:12" ht="18.75" x14ac:dyDescent="0.3">
      <c r="A52" s="6" t="s">
        <v>56</v>
      </c>
      <c r="B52" s="8"/>
      <c r="C52" s="4"/>
      <c r="D52" s="4" t="s">
        <v>45</v>
      </c>
      <c r="E52" s="41" t="s">
        <v>137</v>
      </c>
      <c r="F52" s="41" t="s">
        <v>137</v>
      </c>
      <c r="G52" s="14" t="s">
        <v>51</v>
      </c>
      <c r="H52" s="41"/>
      <c r="I52" s="41" t="s">
        <v>137</v>
      </c>
      <c r="J52" s="13"/>
      <c r="L52" s="2"/>
    </row>
    <row r="53" spans="1:12" ht="24" customHeight="1" x14ac:dyDescent="0.3">
      <c r="A53" s="6" t="s">
        <v>58</v>
      </c>
      <c r="B53" s="8"/>
      <c r="C53" s="4"/>
      <c r="D53" s="4" t="s">
        <v>46</v>
      </c>
      <c r="E53" s="41" t="s">
        <v>137</v>
      </c>
      <c r="F53" s="41" t="s">
        <v>137</v>
      </c>
      <c r="G53" s="14" t="s">
        <v>51</v>
      </c>
      <c r="H53" s="41"/>
      <c r="I53" s="41" t="s">
        <v>137</v>
      </c>
      <c r="J53" s="13"/>
      <c r="L53" s="2"/>
    </row>
    <row r="54" spans="1:12" ht="24" customHeight="1" x14ac:dyDescent="0.3">
      <c r="A54" s="6" t="s">
        <v>63</v>
      </c>
      <c r="B54" s="5"/>
      <c r="C54" s="4"/>
      <c r="D54" s="4" t="s">
        <v>218</v>
      </c>
      <c r="E54" s="41"/>
      <c r="F54" s="41">
        <f>1</f>
        <v>1</v>
      </c>
      <c r="G54" s="14" t="s">
        <v>52</v>
      </c>
      <c r="H54" s="45">
        <f>1429/F54</f>
        <v>1429</v>
      </c>
      <c r="I54" s="57">
        <f>F54*H54</f>
        <v>1429</v>
      </c>
      <c r="J54" s="13" t="s">
        <v>120</v>
      </c>
      <c r="L54" s="2"/>
    </row>
    <row r="55" spans="1:12" ht="48" x14ac:dyDescent="0.3">
      <c r="A55" s="6"/>
      <c r="B55" s="5"/>
      <c r="C55" s="4"/>
      <c r="D55" s="15" t="s">
        <v>188</v>
      </c>
      <c r="E55" s="41"/>
      <c r="F55" s="41">
        <f>1</f>
        <v>1</v>
      </c>
      <c r="G55" s="14" t="s">
        <v>52</v>
      </c>
      <c r="H55" s="45">
        <f>3259/F55</f>
        <v>3259</v>
      </c>
      <c r="I55" s="57">
        <f>F55*H55</f>
        <v>3259</v>
      </c>
      <c r="J55" s="13" t="s">
        <v>120</v>
      </c>
      <c r="L55" s="2"/>
    </row>
    <row r="56" spans="1:12" ht="18.75" x14ac:dyDescent="0.3">
      <c r="A56" s="28"/>
      <c r="B56" s="22"/>
      <c r="C56" s="22"/>
      <c r="D56" s="22"/>
      <c r="E56" s="44"/>
      <c r="F56" s="44"/>
      <c r="G56" s="12"/>
      <c r="H56" s="41"/>
      <c r="I56" s="45">
        <f>SUM(I36:I55)</f>
        <v>62170.8</v>
      </c>
      <c r="J56" s="13"/>
      <c r="L56" s="2"/>
    </row>
    <row r="57" spans="1:12" ht="18.75" x14ac:dyDescent="0.3">
      <c r="A57" s="80" t="s">
        <v>65</v>
      </c>
      <c r="B57" s="81"/>
      <c r="C57" s="81"/>
      <c r="D57" s="81"/>
      <c r="E57" s="81"/>
      <c r="F57" s="81"/>
      <c r="G57" s="82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192</v>
      </c>
      <c r="E58" s="41"/>
      <c r="F58" s="41">
        <f>9+9</f>
        <v>18</v>
      </c>
      <c r="G58" s="13" t="s">
        <v>52</v>
      </c>
      <c r="H58" s="45">
        <f>(1557+1557)/F58</f>
        <v>173</v>
      </c>
      <c r="I58" s="41">
        <f>F58*H58</f>
        <v>3114</v>
      </c>
      <c r="J58" s="13" t="s">
        <v>118</v>
      </c>
      <c r="L58" s="2"/>
    </row>
    <row r="59" spans="1:12" ht="47.25" x14ac:dyDescent="0.25">
      <c r="A59" s="9"/>
      <c r="B59" s="8"/>
      <c r="C59" s="4"/>
      <c r="D59" s="15" t="s">
        <v>210</v>
      </c>
      <c r="E59" s="41"/>
      <c r="F59" s="41">
        <v>3.9</v>
      </c>
      <c r="G59" s="13" t="s">
        <v>110</v>
      </c>
      <c r="H59" s="45">
        <f>2307.6/F59</f>
        <v>591.69230769230774</v>
      </c>
      <c r="I59" s="57">
        <f>F59*H59</f>
        <v>2307.6</v>
      </c>
      <c r="J59" s="13" t="s">
        <v>115</v>
      </c>
      <c r="L59" s="2"/>
    </row>
    <row r="60" spans="1:12" ht="47.25" x14ac:dyDescent="0.25">
      <c r="A60" s="9"/>
      <c r="B60" s="8"/>
      <c r="C60" s="4"/>
      <c r="D60" s="15" t="s">
        <v>211</v>
      </c>
      <c r="E60" s="41"/>
      <c r="F60" s="41">
        <v>2</v>
      </c>
      <c r="G60" s="13" t="s">
        <v>110</v>
      </c>
      <c r="H60" s="45">
        <f>1191.4/F60</f>
        <v>595.70000000000005</v>
      </c>
      <c r="I60" s="57">
        <f>F60*H60</f>
        <v>1191.4000000000001</v>
      </c>
      <c r="J60" s="13" t="s">
        <v>115</v>
      </c>
      <c r="L60" s="2"/>
    </row>
    <row r="61" spans="1:12" ht="46.5" customHeight="1" x14ac:dyDescent="0.25">
      <c r="A61" s="9" t="s">
        <v>89</v>
      </c>
      <c r="B61" s="8"/>
      <c r="C61" s="4"/>
      <c r="D61" s="42" t="s">
        <v>123</v>
      </c>
      <c r="E61" s="32"/>
      <c r="F61" s="13">
        <f>2583.6</f>
        <v>2583.6</v>
      </c>
      <c r="G61" s="13" t="s">
        <v>110</v>
      </c>
      <c r="H61" s="33">
        <f>(12094.6+12094.6+12094.6+12170.2+12170.2+12170.2+12645+12645+12645+12806.2+12806.2+12806.2)/F61</f>
        <v>57.728750580585235</v>
      </c>
      <c r="I61" s="33">
        <f t="shared" ref="I61" si="1">F61*H61</f>
        <v>149148</v>
      </c>
      <c r="J61" s="13" t="s">
        <v>113</v>
      </c>
      <c r="L61" s="2"/>
    </row>
    <row r="62" spans="1:12" ht="46.5" customHeight="1" x14ac:dyDescent="0.25">
      <c r="A62" s="9"/>
      <c r="B62" s="8"/>
      <c r="C62" s="4"/>
      <c r="D62" s="15" t="s">
        <v>108</v>
      </c>
      <c r="E62" s="41"/>
      <c r="F62" s="41">
        <v>2690</v>
      </c>
      <c r="G62" s="13" t="s">
        <v>30</v>
      </c>
      <c r="H62" s="45">
        <f>245753.8/F62</f>
        <v>91.358289962825268</v>
      </c>
      <c r="I62" s="41">
        <f t="shared" ref="I62:I67" si="2">F62*H62</f>
        <v>245753.79999999996</v>
      </c>
      <c r="J62" s="13" t="s">
        <v>115</v>
      </c>
      <c r="L62" s="2"/>
    </row>
    <row r="63" spans="1:12" ht="46.5" customHeight="1" x14ac:dyDescent="0.25">
      <c r="A63" s="9"/>
      <c r="B63" s="8"/>
      <c r="C63" s="4"/>
      <c r="D63" s="15" t="s">
        <v>109</v>
      </c>
      <c r="E63" s="41"/>
      <c r="F63" s="41">
        <v>258</v>
      </c>
      <c r="G63" s="13" t="s">
        <v>30</v>
      </c>
      <c r="H63" s="45">
        <f>23815.4/F63</f>
        <v>92.307751937984506</v>
      </c>
      <c r="I63" s="41">
        <f t="shared" si="2"/>
        <v>23815.4</v>
      </c>
      <c r="J63" s="13" t="s">
        <v>115</v>
      </c>
      <c r="L63" s="2"/>
    </row>
    <row r="64" spans="1:12" ht="46.5" customHeight="1" x14ac:dyDescent="0.25">
      <c r="A64" s="9"/>
      <c r="B64" s="8"/>
      <c r="C64" s="4"/>
      <c r="D64" s="15" t="s">
        <v>212</v>
      </c>
      <c r="E64" s="41"/>
      <c r="F64" s="41">
        <v>166</v>
      </c>
      <c r="G64" s="13" t="s">
        <v>30</v>
      </c>
      <c r="H64" s="45">
        <f>16030/F64</f>
        <v>96.566265060240966</v>
      </c>
      <c r="I64" s="41">
        <f t="shared" si="2"/>
        <v>16030</v>
      </c>
      <c r="J64" s="13" t="s">
        <v>115</v>
      </c>
      <c r="L64" s="2"/>
    </row>
    <row r="65" spans="1:12" ht="46.5" customHeight="1" x14ac:dyDescent="0.25">
      <c r="A65" s="9"/>
      <c r="B65" s="8"/>
      <c r="C65" s="4"/>
      <c r="D65" s="15" t="s">
        <v>148</v>
      </c>
      <c r="E65" s="41" t="s">
        <v>137</v>
      </c>
      <c r="F65" s="41">
        <f>1</f>
        <v>1</v>
      </c>
      <c r="G65" s="13" t="s">
        <v>31</v>
      </c>
      <c r="H65" s="41">
        <f>1452.8/F65</f>
        <v>1452.8</v>
      </c>
      <c r="I65" s="41">
        <f t="shared" si="2"/>
        <v>1452.8</v>
      </c>
      <c r="J65" s="13" t="s">
        <v>120</v>
      </c>
      <c r="L65" s="2"/>
    </row>
    <row r="66" spans="1:12" ht="46.5" customHeight="1" x14ac:dyDescent="0.25">
      <c r="A66" s="9"/>
      <c r="B66" s="8"/>
      <c r="C66" s="4"/>
      <c r="D66" s="15" t="s">
        <v>161</v>
      </c>
      <c r="E66" s="41" t="s">
        <v>137</v>
      </c>
      <c r="F66" s="41">
        <f>1</f>
        <v>1</v>
      </c>
      <c r="G66" s="13" t="s">
        <v>31</v>
      </c>
      <c r="H66" s="45">
        <f>1003.2/F66</f>
        <v>1003.2</v>
      </c>
      <c r="I66" s="61">
        <f t="shared" si="2"/>
        <v>1003.2</v>
      </c>
      <c r="J66" s="13" t="s">
        <v>115</v>
      </c>
      <c r="L66" s="2"/>
    </row>
    <row r="67" spans="1:12" ht="46.5" customHeight="1" x14ac:dyDescent="0.25">
      <c r="A67" s="9"/>
      <c r="B67" s="8"/>
      <c r="C67" s="4"/>
      <c r="D67" s="15" t="s">
        <v>191</v>
      </c>
      <c r="E67" s="41" t="s">
        <v>137</v>
      </c>
      <c r="F67" s="41">
        <f>1</f>
        <v>1</v>
      </c>
      <c r="G67" s="13" t="s">
        <v>31</v>
      </c>
      <c r="H67" s="45">
        <f>19536.6/F67</f>
        <v>19536.599999999999</v>
      </c>
      <c r="I67" s="61">
        <f t="shared" si="2"/>
        <v>19536.599999999999</v>
      </c>
      <c r="J67" s="13" t="s">
        <v>115</v>
      </c>
      <c r="L67" s="2"/>
    </row>
    <row r="68" spans="1:12" ht="46.5" customHeight="1" x14ac:dyDescent="0.25">
      <c r="A68" s="9"/>
      <c r="B68" s="8"/>
      <c r="C68" s="4"/>
      <c r="D68" s="15" t="s">
        <v>223</v>
      </c>
      <c r="E68" s="41" t="s">
        <v>137</v>
      </c>
      <c r="F68" s="41">
        <f>452+250</f>
        <v>702</v>
      </c>
      <c r="G68" s="13" t="s">
        <v>224</v>
      </c>
      <c r="H68" s="45">
        <f>(630+349.2)/F68</f>
        <v>1.394871794871795</v>
      </c>
      <c r="I68" s="41">
        <f>F68*H68</f>
        <v>979.20000000000016</v>
      </c>
      <c r="J68" s="13" t="s">
        <v>118</v>
      </c>
      <c r="L68" s="2"/>
    </row>
    <row r="69" spans="1:12" ht="46.5" customHeight="1" x14ac:dyDescent="0.25">
      <c r="A69" s="9"/>
      <c r="B69" s="8"/>
      <c r="C69" s="4"/>
      <c r="D69" s="15" t="s">
        <v>162</v>
      </c>
      <c r="E69" s="41" t="s">
        <v>137</v>
      </c>
      <c r="F69" s="41" t="s">
        <v>137</v>
      </c>
      <c r="G69" s="13" t="s">
        <v>31</v>
      </c>
      <c r="H69" s="41"/>
      <c r="I69" s="41" t="s">
        <v>137</v>
      </c>
      <c r="J69" s="13"/>
      <c r="L69" s="2"/>
    </row>
    <row r="70" spans="1:12" ht="46.5" customHeight="1" x14ac:dyDescent="0.25">
      <c r="A70" s="9"/>
      <c r="B70" s="8"/>
      <c r="C70" s="4"/>
      <c r="D70" s="15" t="s">
        <v>163</v>
      </c>
      <c r="E70" s="41"/>
      <c r="F70" s="41">
        <f>8+2</f>
        <v>10</v>
      </c>
      <c r="G70" s="13" t="s">
        <v>31</v>
      </c>
      <c r="H70" s="41"/>
      <c r="I70" s="41">
        <f>F70*H70</f>
        <v>0</v>
      </c>
      <c r="J70" s="13" t="s">
        <v>115</v>
      </c>
      <c r="L70" s="2"/>
    </row>
    <row r="71" spans="1:12" ht="46.5" customHeight="1" x14ac:dyDescent="0.25">
      <c r="A71" s="9"/>
      <c r="B71" s="8"/>
      <c r="C71" s="4"/>
      <c r="D71" s="15" t="s">
        <v>149</v>
      </c>
      <c r="E71" s="41"/>
      <c r="F71" s="41">
        <f>2</f>
        <v>2</v>
      </c>
      <c r="G71" s="13" t="s">
        <v>31</v>
      </c>
      <c r="H71" s="41">
        <f>5018.2/F71</f>
        <v>2509.1</v>
      </c>
      <c r="I71" s="41">
        <f>F71*H71</f>
        <v>5018.2</v>
      </c>
      <c r="J71" s="13" t="s">
        <v>115</v>
      </c>
      <c r="L71" s="2"/>
    </row>
    <row r="72" spans="1:12" ht="31.5" x14ac:dyDescent="0.25">
      <c r="A72" s="9" t="s">
        <v>80</v>
      </c>
      <c r="B72" s="8"/>
      <c r="C72" s="4"/>
      <c r="D72" s="15" t="s">
        <v>151</v>
      </c>
      <c r="E72" s="41" t="s">
        <v>137</v>
      </c>
      <c r="F72" s="41" t="s">
        <v>137</v>
      </c>
      <c r="G72" s="13" t="s">
        <v>52</v>
      </c>
      <c r="H72" s="41"/>
      <c r="I72" s="41" t="s">
        <v>137</v>
      </c>
      <c r="J72" s="13"/>
      <c r="L72" s="2"/>
    </row>
    <row r="73" spans="1:12" ht="18.75" x14ac:dyDescent="0.25">
      <c r="A73" s="9"/>
      <c r="B73" s="8"/>
      <c r="C73" s="4"/>
      <c r="D73" s="15" t="s">
        <v>130</v>
      </c>
      <c r="E73" s="41"/>
      <c r="F73" s="41">
        <f>4+12+4</f>
        <v>20</v>
      </c>
      <c r="G73" s="13" t="s">
        <v>31</v>
      </c>
      <c r="H73" s="45">
        <f>(4828+14478.2+4878)/F73</f>
        <v>1209.21</v>
      </c>
      <c r="I73" s="57">
        <f>F73*H73</f>
        <v>24184.2</v>
      </c>
      <c r="J73" s="13" t="s">
        <v>115</v>
      </c>
      <c r="L73" s="2"/>
    </row>
    <row r="74" spans="1:12" ht="18.75" x14ac:dyDescent="0.25">
      <c r="A74" s="9"/>
      <c r="B74" s="8"/>
      <c r="C74" s="4"/>
      <c r="D74" s="15" t="s">
        <v>144</v>
      </c>
      <c r="E74" s="41" t="s">
        <v>137</v>
      </c>
      <c r="F74" s="41" t="s">
        <v>137</v>
      </c>
      <c r="G74" s="13" t="s">
        <v>31</v>
      </c>
      <c r="H74" s="41"/>
      <c r="I74" s="41" t="s">
        <v>137</v>
      </c>
      <c r="J74" s="13"/>
      <c r="L74" s="2"/>
    </row>
    <row r="75" spans="1:12" ht="31.5" x14ac:dyDescent="0.25">
      <c r="A75" s="9"/>
      <c r="B75" s="8"/>
      <c r="C75" s="4"/>
      <c r="D75" s="15" t="s">
        <v>177</v>
      </c>
      <c r="E75" s="41" t="s">
        <v>137</v>
      </c>
      <c r="F75" s="41">
        <f>4</f>
        <v>4</v>
      </c>
      <c r="G75" s="13" t="s">
        <v>159</v>
      </c>
      <c r="H75" s="41">
        <f>5917.8/F75</f>
        <v>1479.45</v>
      </c>
      <c r="I75" s="57">
        <f>F75*H75</f>
        <v>5917.8</v>
      </c>
      <c r="J75" s="13" t="s">
        <v>115</v>
      </c>
      <c r="L75" s="2"/>
    </row>
    <row r="76" spans="1:12" ht="31.5" x14ac:dyDescent="0.25">
      <c r="A76" s="9"/>
      <c r="B76" s="8"/>
      <c r="C76" s="4"/>
      <c r="D76" s="15" t="s">
        <v>171</v>
      </c>
      <c r="E76" s="41" t="s">
        <v>137</v>
      </c>
      <c r="F76" s="41" t="s">
        <v>137</v>
      </c>
      <c r="G76" s="13" t="s">
        <v>140</v>
      </c>
      <c r="H76" s="41"/>
      <c r="I76" s="41" t="s">
        <v>137</v>
      </c>
      <c r="J76" s="13"/>
      <c r="L76" s="2"/>
    </row>
    <row r="77" spans="1:12" ht="18.75" x14ac:dyDescent="0.25">
      <c r="A77" s="9"/>
      <c r="B77" s="8"/>
      <c r="C77" s="4"/>
      <c r="D77" s="15" t="s">
        <v>152</v>
      </c>
      <c r="E77" s="41" t="s">
        <v>137</v>
      </c>
      <c r="F77" s="41" t="s">
        <v>137</v>
      </c>
      <c r="G77" s="13" t="s">
        <v>153</v>
      </c>
      <c r="H77" s="41"/>
      <c r="I77" s="41" t="s">
        <v>137</v>
      </c>
      <c r="J77" s="13"/>
      <c r="L77" s="2"/>
    </row>
    <row r="78" spans="1:12" ht="18.75" x14ac:dyDescent="0.25">
      <c r="A78" s="9" t="s">
        <v>20</v>
      </c>
      <c r="B78" s="8"/>
      <c r="C78" s="4"/>
      <c r="D78" s="15" t="s">
        <v>66</v>
      </c>
      <c r="E78" s="41" t="s">
        <v>137</v>
      </c>
      <c r="F78" s="41" t="s">
        <v>137</v>
      </c>
      <c r="G78" s="13" t="s">
        <v>30</v>
      </c>
      <c r="H78" s="41"/>
      <c r="I78" s="41" t="s">
        <v>137</v>
      </c>
      <c r="J78" s="13"/>
      <c r="L78" s="2"/>
    </row>
    <row r="79" spans="1:12" ht="31.5" x14ac:dyDescent="0.25">
      <c r="A79" s="9" t="s">
        <v>21</v>
      </c>
      <c r="B79" s="8"/>
      <c r="C79" s="4"/>
      <c r="D79" s="15" t="s">
        <v>68</v>
      </c>
      <c r="E79" s="41" t="s">
        <v>137</v>
      </c>
      <c r="F79" s="41" t="s">
        <v>137</v>
      </c>
      <c r="G79" s="13" t="s">
        <v>52</v>
      </c>
      <c r="H79" s="41"/>
      <c r="I79" s="41" t="s">
        <v>137</v>
      </c>
      <c r="J79" s="13"/>
      <c r="L79" s="2"/>
    </row>
    <row r="80" spans="1:12" ht="18.75" x14ac:dyDescent="0.25">
      <c r="A80" s="46"/>
      <c r="B80" s="47"/>
      <c r="C80" s="22"/>
      <c r="D80" s="30"/>
      <c r="E80" s="44"/>
      <c r="F80" s="44"/>
      <c r="G80" s="31"/>
      <c r="H80" s="41"/>
      <c r="I80" s="45">
        <f>SUM(I58:I79)</f>
        <v>499452.19999999995</v>
      </c>
      <c r="J80" s="13"/>
      <c r="L80" s="2"/>
    </row>
    <row r="81" spans="1:12" ht="18.75" x14ac:dyDescent="0.3">
      <c r="A81" s="76" t="s">
        <v>69</v>
      </c>
      <c r="B81" s="77"/>
      <c r="C81" s="77"/>
      <c r="D81" s="77"/>
      <c r="E81" s="77"/>
      <c r="F81" s="77"/>
      <c r="G81" s="78"/>
      <c r="H81" s="19"/>
      <c r="I81" s="5"/>
      <c r="J81" s="13"/>
      <c r="L81" s="2"/>
    </row>
    <row r="82" spans="1:12" ht="37.5" x14ac:dyDescent="0.25">
      <c r="A82" s="9" t="s">
        <v>89</v>
      </c>
      <c r="B82" s="8"/>
      <c r="C82" s="4"/>
      <c r="D82" s="4" t="s">
        <v>125</v>
      </c>
      <c r="E82" s="31"/>
      <c r="F82" s="13">
        <f>6+12+3+9+12+4+8+4+6+12+5+2</f>
        <v>83</v>
      </c>
      <c r="G82" s="13" t="s">
        <v>112</v>
      </c>
      <c r="H82" s="33">
        <f>(4212.4+8426.4+2106+6359.2+8479.6+2828+5873.2+2937.2+4405.2+8921.6+3718+1486.6)/F82/3</f>
        <v>239.97349397590358</v>
      </c>
      <c r="I82" s="33">
        <f>F82*H82</f>
        <v>19917.799999999996</v>
      </c>
      <c r="J82" s="13" t="s">
        <v>113</v>
      </c>
      <c r="L82" s="2"/>
    </row>
    <row r="83" spans="1:12" ht="31.5" x14ac:dyDescent="0.25">
      <c r="A83" s="9"/>
      <c r="B83" s="8"/>
      <c r="C83" s="4"/>
      <c r="D83" s="15" t="s">
        <v>167</v>
      </c>
      <c r="E83" s="41"/>
      <c r="F83" s="41">
        <f>1+1+2+2</f>
        <v>6</v>
      </c>
      <c r="G83" s="13" t="s">
        <v>31</v>
      </c>
      <c r="H83" s="45">
        <f>(14233.6+14861.6+15041.6)/F83</f>
        <v>7356.1333333333341</v>
      </c>
      <c r="I83" s="57">
        <f>F83*H83</f>
        <v>44136.800000000003</v>
      </c>
      <c r="J83" s="13" t="s">
        <v>120</v>
      </c>
      <c r="L83" s="2"/>
    </row>
    <row r="84" spans="1:12" ht="31.5" x14ac:dyDescent="0.25">
      <c r="A84" s="9"/>
      <c r="B84" s="8"/>
      <c r="C84" s="4"/>
      <c r="D84" s="15" t="s">
        <v>158</v>
      </c>
      <c r="E84" s="41"/>
      <c r="F84" s="41">
        <f>1</f>
        <v>1</v>
      </c>
      <c r="G84" s="13" t="s">
        <v>146</v>
      </c>
      <c r="H84" s="41">
        <f>6962.2/F84</f>
        <v>6962.2</v>
      </c>
      <c r="I84" s="57">
        <f>F84*H84</f>
        <v>6962.2</v>
      </c>
      <c r="J84" s="13" t="s">
        <v>115</v>
      </c>
      <c r="L84" s="2"/>
    </row>
    <row r="85" spans="1:12" ht="31.5" x14ac:dyDescent="0.25">
      <c r="A85" s="9"/>
      <c r="B85" s="8"/>
      <c r="C85" s="4"/>
      <c r="D85" s="15" t="s">
        <v>199</v>
      </c>
      <c r="E85" s="41" t="s">
        <v>137</v>
      </c>
      <c r="F85" s="41">
        <f>1+2</f>
        <v>3</v>
      </c>
      <c r="G85" s="13" t="s">
        <v>30</v>
      </c>
      <c r="H85" s="41">
        <f>(1362.6+2805)/F85</f>
        <v>1389.2</v>
      </c>
      <c r="I85" s="57">
        <f t="shared" ref="I85:I89" si="3">F85*H85</f>
        <v>4167.6000000000004</v>
      </c>
      <c r="J85" s="13" t="s">
        <v>142</v>
      </c>
      <c r="L85" s="2"/>
    </row>
    <row r="86" spans="1:12" ht="31.5" x14ac:dyDescent="0.25">
      <c r="A86" s="9"/>
      <c r="B86" s="8"/>
      <c r="C86" s="4"/>
      <c r="D86" s="15" t="s">
        <v>214</v>
      </c>
      <c r="E86" s="41" t="s">
        <v>137</v>
      </c>
      <c r="F86" s="41">
        <v>1</v>
      </c>
      <c r="G86" s="13" t="s">
        <v>31</v>
      </c>
      <c r="H86" s="41">
        <f>7316.2/F86</f>
        <v>7316.2</v>
      </c>
      <c r="I86" s="57">
        <f t="shared" si="3"/>
        <v>7316.2</v>
      </c>
      <c r="J86" s="13" t="s">
        <v>142</v>
      </c>
      <c r="L86" s="2"/>
    </row>
    <row r="87" spans="1:12" ht="18.75" x14ac:dyDescent="0.25">
      <c r="A87" s="9"/>
      <c r="B87" s="8"/>
      <c r="C87" s="4"/>
      <c r="D87" s="15" t="s">
        <v>215</v>
      </c>
      <c r="E87" s="41"/>
      <c r="F87" s="41">
        <f>3</f>
        <v>3</v>
      </c>
      <c r="G87" s="13" t="s">
        <v>31</v>
      </c>
      <c r="H87" s="45">
        <f>1647.2/F87</f>
        <v>549.06666666666672</v>
      </c>
      <c r="I87" s="71">
        <f t="shared" si="3"/>
        <v>1647.2000000000003</v>
      </c>
      <c r="J87" s="13" t="s">
        <v>115</v>
      </c>
      <c r="L87" s="2"/>
    </row>
    <row r="88" spans="1:12" ht="18.75" x14ac:dyDescent="0.25">
      <c r="A88" s="9"/>
      <c r="B88" s="8"/>
      <c r="C88" s="4"/>
      <c r="D88" s="15" t="s">
        <v>157</v>
      </c>
      <c r="E88" s="41"/>
      <c r="F88" s="41">
        <f>2</f>
        <v>2</v>
      </c>
      <c r="G88" s="13" t="s">
        <v>31</v>
      </c>
      <c r="H88" s="45">
        <f>1957.2/F88</f>
        <v>978.6</v>
      </c>
      <c r="I88" s="71">
        <f t="shared" si="3"/>
        <v>1957.2</v>
      </c>
      <c r="J88" s="13" t="s">
        <v>115</v>
      </c>
      <c r="L88" s="2"/>
    </row>
    <row r="89" spans="1:12" ht="47.25" x14ac:dyDescent="0.25">
      <c r="A89" s="9"/>
      <c r="B89" s="8"/>
      <c r="C89" s="4"/>
      <c r="D89" s="15" t="s">
        <v>219</v>
      </c>
      <c r="E89" s="41"/>
      <c r="F89" s="41">
        <v>31</v>
      </c>
      <c r="G89" s="13" t="s">
        <v>140</v>
      </c>
      <c r="H89" s="45">
        <f>17289/F89</f>
        <v>557.70967741935488</v>
      </c>
      <c r="I89" s="57">
        <f t="shared" si="3"/>
        <v>17289</v>
      </c>
      <c r="J89" s="13" t="s">
        <v>115</v>
      </c>
      <c r="L89" s="2"/>
    </row>
    <row r="90" spans="1:12" ht="18.75" x14ac:dyDescent="0.25">
      <c r="A90" s="9" t="s">
        <v>80</v>
      </c>
      <c r="B90" s="8"/>
      <c r="C90" s="4"/>
      <c r="D90" s="15" t="s">
        <v>67</v>
      </c>
      <c r="E90" s="41" t="s">
        <v>137</v>
      </c>
      <c r="F90" s="41" t="s">
        <v>137</v>
      </c>
      <c r="G90" s="13" t="s">
        <v>52</v>
      </c>
      <c r="H90" s="41"/>
      <c r="I90" s="41" t="s">
        <v>137</v>
      </c>
      <c r="J90" s="13"/>
      <c r="L90" s="2"/>
    </row>
    <row r="91" spans="1:12" ht="18.75" x14ac:dyDescent="0.25">
      <c r="A91" s="9"/>
      <c r="B91" s="8"/>
      <c r="C91" s="4"/>
      <c r="D91" s="15" t="s">
        <v>216</v>
      </c>
      <c r="E91" s="41"/>
      <c r="F91" s="41">
        <f>2</f>
        <v>2</v>
      </c>
      <c r="G91" s="13" t="s">
        <v>31</v>
      </c>
      <c r="H91" s="41">
        <f>13939.2/F91</f>
        <v>6969.6</v>
      </c>
      <c r="I91" s="71">
        <f>F91*H91</f>
        <v>13939.2</v>
      </c>
      <c r="J91" s="13" t="s">
        <v>115</v>
      </c>
      <c r="L91" s="2"/>
    </row>
    <row r="92" spans="1:12" ht="18.75" x14ac:dyDescent="0.25">
      <c r="A92" s="9"/>
      <c r="B92" s="8"/>
      <c r="C92" s="4"/>
      <c r="D92" s="15" t="s">
        <v>217</v>
      </c>
      <c r="E92" s="41"/>
      <c r="F92" s="41">
        <f>2</f>
        <v>2</v>
      </c>
      <c r="G92" s="13" t="s">
        <v>31</v>
      </c>
      <c r="H92" s="41">
        <f>24608.6/F92</f>
        <v>12304.3</v>
      </c>
      <c r="I92" s="71">
        <f>F92*H92</f>
        <v>24608.6</v>
      </c>
      <c r="J92" s="13" t="s">
        <v>115</v>
      </c>
      <c r="L92" s="2"/>
    </row>
    <row r="93" spans="1:12" ht="31.5" x14ac:dyDescent="0.25">
      <c r="A93" s="9"/>
      <c r="B93" s="8"/>
      <c r="C93" s="4"/>
      <c r="D93" s="15" t="s">
        <v>200</v>
      </c>
      <c r="E93" s="41" t="s">
        <v>137</v>
      </c>
      <c r="F93" s="41">
        <f>3+2+1+5+2+2+2</f>
        <v>17</v>
      </c>
      <c r="G93" s="13" t="s">
        <v>31</v>
      </c>
      <c r="H93" s="45">
        <f>(4104.4+2590.8+1272.2+6043.4+3533.4+3533.4+3562)/F93</f>
        <v>1449.3882352941177</v>
      </c>
      <c r="I93" s="57">
        <f>F93*H93</f>
        <v>24639.600000000002</v>
      </c>
      <c r="J93" s="13" t="s">
        <v>113</v>
      </c>
      <c r="L93" s="2"/>
    </row>
    <row r="94" spans="1:12" ht="18.75" x14ac:dyDescent="0.25">
      <c r="A94" s="9"/>
      <c r="B94" s="8"/>
      <c r="C94" s="4"/>
      <c r="D94" s="15" t="s">
        <v>130</v>
      </c>
      <c r="E94" s="41"/>
      <c r="F94" s="41">
        <f>4</f>
        <v>4</v>
      </c>
      <c r="G94" s="13" t="s">
        <v>31</v>
      </c>
      <c r="H94" s="41">
        <f>4878.2/F94</f>
        <v>1219.55</v>
      </c>
      <c r="I94" s="57">
        <f>F94*H94</f>
        <v>4878.2</v>
      </c>
      <c r="J94" s="13" t="s">
        <v>115</v>
      </c>
      <c r="L94" s="2"/>
    </row>
    <row r="95" spans="1:12" ht="31.5" x14ac:dyDescent="0.25">
      <c r="A95" s="9" t="s">
        <v>21</v>
      </c>
      <c r="B95" s="8"/>
      <c r="C95" s="4"/>
      <c r="D95" s="15" t="s">
        <v>68</v>
      </c>
      <c r="E95" s="41" t="s">
        <v>137</v>
      </c>
      <c r="F95" s="41" t="s">
        <v>137</v>
      </c>
      <c r="G95" s="13" t="s">
        <v>139</v>
      </c>
      <c r="H95" s="41"/>
      <c r="I95" s="41" t="s">
        <v>137</v>
      </c>
      <c r="J95" s="13"/>
      <c r="L95" s="2"/>
    </row>
    <row r="96" spans="1:12" ht="18.75" x14ac:dyDescent="0.25">
      <c r="A96" s="46"/>
      <c r="B96" s="47"/>
      <c r="C96" s="22"/>
      <c r="D96" s="30"/>
      <c r="E96" s="44"/>
      <c r="F96" s="44"/>
      <c r="G96" s="31"/>
      <c r="H96" s="41"/>
      <c r="I96" s="45">
        <f>SUM(I82:I95)</f>
        <v>171459.6</v>
      </c>
      <c r="J96" s="13"/>
      <c r="L96" s="2"/>
    </row>
    <row r="97" spans="1:12" ht="18.75" x14ac:dyDescent="0.3">
      <c r="A97" s="76" t="s">
        <v>70</v>
      </c>
      <c r="B97" s="77"/>
      <c r="C97" s="77"/>
      <c r="D97" s="77"/>
      <c r="E97" s="77"/>
      <c r="F97" s="77"/>
      <c r="G97" s="78"/>
      <c r="H97" s="13"/>
      <c r="I97" s="5"/>
      <c r="J97" s="13"/>
      <c r="L97" s="2"/>
    </row>
    <row r="98" spans="1:12" ht="37.5" x14ac:dyDescent="0.25">
      <c r="A98" s="9" t="s">
        <v>89</v>
      </c>
      <c r="B98" s="8"/>
      <c r="C98" s="4"/>
      <c r="D98" s="4" t="s">
        <v>126</v>
      </c>
      <c r="E98" s="31"/>
      <c r="F98" s="13">
        <f>6+12+3+9+12+4+8+4+6+12+5+2</f>
        <v>83</v>
      </c>
      <c r="G98" s="13" t="s">
        <v>112</v>
      </c>
      <c r="H98" s="33">
        <f>(4212.4+8426.4+2106+6359.2+8479.6+2828+5873.2+2937.2+4405.2+8921.6+3718+1486.6)/F98/3</f>
        <v>239.97349397590358</v>
      </c>
      <c r="I98" s="33">
        <f>F98*H98</f>
        <v>19917.799999999996</v>
      </c>
      <c r="J98" s="13" t="s">
        <v>113</v>
      </c>
      <c r="L98" s="2"/>
    </row>
    <row r="99" spans="1:12" ht="18.75" x14ac:dyDescent="0.25">
      <c r="A99" s="9"/>
      <c r="B99" s="8"/>
      <c r="C99" s="4"/>
      <c r="D99" s="15" t="s">
        <v>157</v>
      </c>
      <c r="E99" s="41" t="s">
        <v>137</v>
      </c>
      <c r="F99" s="41" t="s">
        <v>137</v>
      </c>
      <c r="G99" s="13" t="s">
        <v>145</v>
      </c>
      <c r="H99" s="41"/>
      <c r="I99" s="41" t="s">
        <v>137</v>
      </c>
      <c r="J99" s="13"/>
      <c r="L99" s="2"/>
    </row>
    <row r="100" spans="1:12" ht="31.5" x14ac:dyDescent="0.25">
      <c r="A100" s="9"/>
      <c r="B100" s="8"/>
      <c r="C100" s="4"/>
      <c r="D100" s="15" t="s">
        <v>158</v>
      </c>
      <c r="E100" s="41"/>
      <c r="F100" s="41">
        <f>1</f>
        <v>1</v>
      </c>
      <c r="G100" s="13" t="s">
        <v>146</v>
      </c>
      <c r="H100" s="41">
        <f>6962.2/F100</f>
        <v>6962.2</v>
      </c>
      <c r="I100" s="57">
        <f>F100*H100</f>
        <v>6962.2</v>
      </c>
      <c r="J100" s="13" t="s">
        <v>142</v>
      </c>
      <c r="L100" s="2"/>
    </row>
    <row r="101" spans="1:12" ht="18.75" x14ac:dyDescent="0.25">
      <c r="A101" s="9" t="s">
        <v>80</v>
      </c>
      <c r="B101" s="8"/>
      <c r="C101" s="4"/>
      <c r="D101" s="15" t="s">
        <v>67</v>
      </c>
      <c r="E101" s="41" t="s">
        <v>137</v>
      </c>
      <c r="F101" s="41" t="s">
        <v>137</v>
      </c>
      <c r="G101" s="14" t="s">
        <v>52</v>
      </c>
      <c r="H101" s="41"/>
      <c r="I101" s="41" t="s">
        <v>137</v>
      </c>
      <c r="J101" s="13"/>
      <c r="L101" s="2"/>
    </row>
    <row r="102" spans="1:12" ht="18.75" x14ac:dyDescent="0.25">
      <c r="A102" s="9"/>
      <c r="B102" s="8"/>
      <c r="C102" s="4"/>
      <c r="D102" s="15" t="s">
        <v>203</v>
      </c>
      <c r="E102" s="41" t="s">
        <v>137</v>
      </c>
      <c r="F102" s="41">
        <f>1+1+1+1</f>
        <v>4</v>
      </c>
      <c r="G102" s="13" t="s">
        <v>31</v>
      </c>
      <c r="H102" s="41">
        <f>(1225.2+4539+1272.2+1764.4)/F102</f>
        <v>2200.1999999999998</v>
      </c>
      <c r="I102" s="57">
        <f>F102*H102</f>
        <v>8800.7999999999993</v>
      </c>
      <c r="J102" s="13" t="s">
        <v>113</v>
      </c>
      <c r="L102" s="2"/>
    </row>
    <row r="103" spans="1:12" ht="31.5" x14ac:dyDescent="0.25">
      <c r="A103" s="9" t="s">
        <v>21</v>
      </c>
      <c r="B103" s="8"/>
      <c r="C103" s="4"/>
      <c r="D103" s="15" t="s">
        <v>68</v>
      </c>
      <c r="E103" s="41" t="s">
        <v>137</v>
      </c>
      <c r="F103" s="41" t="s">
        <v>137</v>
      </c>
      <c r="G103" s="14" t="s">
        <v>52</v>
      </c>
      <c r="H103" s="41"/>
      <c r="I103" s="41" t="s">
        <v>137</v>
      </c>
      <c r="J103" s="13"/>
      <c r="L103" s="2"/>
    </row>
    <row r="104" spans="1:12" ht="18.75" x14ac:dyDescent="0.25">
      <c r="A104" s="46"/>
      <c r="B104" s="47"/>
      <c r="C104" s="22"/>
      <c r="D104" s="30"/>
      <c r="E104" s="44"/>
      <c r="F104" s="44"/>
      <c r="G104" s="12"/>
      <c r="H104" s="41"/>
      <c r="I104" s="45">
        <f>SUM(I98:I103)</f>
        <v>35680.799999999996</v>
      </c>
      <c r="J104" s="13"/>
      <c r="L104" s="2"/>
    </row>
    <row r="105" spans="1:12" ht="18.75" x14ac:dyDescent="0.3">
      <c r="A105" s="76" t="s">
        <v>71</v>
      </c>
      <c r="B105" s="77"/>
      <c r="C105" s="77"/>
      <c r="D105" s="77"/>
      <c r="E105" s="77"/>
      <c r="F105" s="77"/>
      <c r="G105" s="78"/>
      <c r="H105" s="19"/>
      <c r="I105" s="5"/>
      <c r="J105" s="13"/>
      <c r="L105" s="2"/>
    </row>
    <row r="106" spans="1:12" ht="37.5" x14ac:dyDescent="0.25">
      <c r="A106" s="9" t="s">
        <v>94</v>
      </c>
      <c r="B106" s="8"/>
      <c r="C106" s="4"/>
      <c r="D106" s="4" t="s">
        <v>127</v>
      </c>
      <c r="E106" s="31"/>
      <c r="F106" s="13">
        <f>6+12+3+9+12+4+8+4+6+12+5+2</f>
        <v>83</v>
      </c>
      <c r="G106" s="13" t="s">
        <v>112</v>
      </c>
      <c r="H106" s="33">
        <f>(4212.4+8426.4+2106+6359.2+8479.6+2828+5873.2+2937.2+4405.2+8921.6+3718+1486.6)/F106/3</f>
        <v>239.97349397590358</v>
      </c>
      <c r="I106" s="33">
        <f>F106*H106</f>
        <v>19917.799999999996</v>
      </c>
      <c r="J106" s="13" t="s">
        <v>113</v>
      </c>
      <c r="L106" s="2"/>
    </row>
    <row r="107" spans="1:12" ht="31.5" x14ac:dyDescent="0.25">
      <c r="A107" s="9"/>
      <c r="B107" s="8"/>
      <c r="C107" s="4"/>
      <c r="D107" s="15" t="s">
        <v>119</v>
      </c>
      <c r="E107" s="41"/>
      <c r="F107" s="41">
        <f>2</f>
        <v>2</v>
      </c>
      <c r="G107" s="13" t="s">
        <v>30</v>
      </c>
      <c r="H107" s="41">
        <f>4164/F107</f>
        <v>2082</v>
      </c>
      <c r="I107" s="57">
        <f>F107*H107</f>
        <v>4164</v>
      </c>
      <c r="J107" s="13"/>
      <c r="L107" s="2"/>
    </row>
    <row r="108" spans="1:12" ht="31.5" x14ac:dyDescent="0.25">
      <c r="A108" s="9"/>
      <c r="B108" s="8"/>
      <c r="C108" s="4"/>
      <c r="D108" s="15" t="s">
        <v>180</v>
      </c>
      <c r="E108" s="41"/>
      <c r="F108" s="41"/>
      <c r="G108" s="13" t="s">
        <v>30</v>
      </c>
      <c r="H108" s="41"/>
      <c r="I108" s="41"/>
      <c r="J108" s="13"/>
      <c r="L108" s="2"/>
    </row>
    <row r="109" spans="1:12" ht="18.75" x14ac:dyDescent="0.25">
      <c r="A109" s="9"/>
      <c r="B109" s="8"/>
      <c r="C109" s="4"/>
      <c r="D109" s="4" t="s">
        <v>111</v>
      </c>
      <c r="E109" s="41"/>
      <c r="F109" s="41">
        <f>3+6+3+3+3+3+3+15+3+10+5</f>
        <v>57</v>
      </c>
      <c r="G109" s="13" t="s">
        <v>30</v>
      </c>
      <c r="H109" s="45">
        <f>(100+2003.4+1004+1018.6+1018.6+1061.4+1061.4+5311.2+1073.4+3581.4+1791.8)/F109</f>
        <v>333.7754385964912</v>
      </c>
      <c r="I109" s="41">
        <f>F109*H109</f>
        <v>19025.199999999997</v>
      </c>
      <c r="J109" s="13" t="s">
        <v>113</v>
      </c>
      <c r="L109" s="2"/>
    </row>
    <row r="110" spans="1:12" ht="18.75" x14ac:dyDescent="0.25">
      <c r="A110" s="9"/>
      <c r="B110" s="8"/>
      <c r="C110" s="4"/>
      <c r="D110" s="4" t="s">
        <v>147</v>
      </c>
      <c r="E110" s="41"/>
      <c r="F110" s="41"/>
      <c r="G110" s="13" t="s">
        <v>30</v>
      </c>
      <c r="H110" s="41"/>
      <c r="I110" s="41" t="s">
        <v>137</v>
      </c>
      <c r="J110" s="13"/>
      <c r="L110" s="2"/>
    </row>
    <row r="111" spans="1:12" ht="18.75" x14ac:dyDescent="0.25">
      <c r="A111" s="9"/>
      <c r="B111" s="8"/>
      <c r="C111" s="4"/>
      <c r="D111" s="4" t="s">
        <v>164</v>
      </c>
      <c r="E111" s="41"/>
      <c r="F111" s="41"/>
      <c r="G111" s="13" t="s">
        <v>134</v>
      </c>
      <c r="H111" s="41"/>
      <c r="I111" s="41"/>
      <c r="J111" s="13"/>
      <c r="L111" s="2"/>
    </row>
    <row r="112" spans="1:12" ht="18.75" x14ac:dyDescent="0.25">
      <c r="A112" s="9"/>
      <c r="B112" s="8"/>
      <c r="C112" s="4"/>
      <c r="D112" s="4" t="s">
        <v>165</v>
      </c>
      <c r="E112" s="41"/>
      <c r="F112" s="41">
        <v>8</v>
      </c>
      <c r="G112" s="13" t="s">
        <v>134</v>
      </c>
      <c r="H112" s="41"/>
      <c r="I112" s="41">
        <f>F112*H112</f>
        <v>0</v>
      </c>
      <c r="J112" s="13" t="s">
        <v>113</v>
      </c>
      <c r="L112" s="2"/>
    </row>
    <row r="113" spans="1:12" ht="18.75" x14ac:dyDescent="0.25">
      <c r="A113" s="9"/>
      <c r="B113" s="8"/>
      <c r="C113" s="4"/>
      <c r="D113" s="4" t="s">
        <v>170</v>
      </c>
      <c r="E113" s="41"/>
      <c r="F113" s="41"/>
      <c r="G113" s="13" t="s">
        <v>31</v>
      </c>
      <c r="H113" s="41"/>
      <c r="I113" s="41"/>
      <c r="J113" s="13"/>
      <c r="L113" s="2"/>
    </row>
    <row r="114" spans="1:12" ht="18.75" x14ac:dyDescent="0.25">
      <c r="A114" s="9" t="s">
        <v>22</v>
      </c>
      <c r="B114" s="8"/>
      <c r="C114" s="4"/>
      <c r="D114" s="4" t="s">
        <v>74</v>
      </c>
      <c r="E114" s="41" t="s">
        <v>137</v>
      </c>
      <c r="F114" s="41" t="s">
        <v>137</v>
      </c>
      <c r="G114" s="13" t="s">
        <v>30</v>
      </c>
      <c r="H114" s="41"/>
      <c r="I114" s="41" t="s">
        <v>137</v>
      </c>
      <c r="J114" s="13"/>
      <c r="L114" s="2"/>
    </row>
    <row r="115" spans="1:12" ht="18.75" x14ac:dyDescent="0.25">
      <c r="A115" s="46"/>
      <c r="B115" s="47"/>
      <c r="C115" s="22"/>
      <c r="D115" s="22"/>
      <c r="E115" s="44"/>
      <c r="F115" s="44"/>
      <c r="G115" s="31"/>
      <c r="H115" s="41"/>
      <c r="I115" s="45">
        <f>SUM(I106:I114)</f>
        <v>43106.999999999993</v>
      </c>
      <c r="J115" s="13"/>
      <c r="L115" s="2"/>
    </row>
    <row r="116" spans="1:12" ht="18.75" x14ac:dyDescent="0.3">
      <c r="A116" s="76" t="s">
        <v>75</v>
      </c>
      <c r="B116" s="77"/>
      <c r="C116" s="77"/>
      <c r="D116" s="77"/>
      <c r="E116" s="77"/>
      <c r="F116" s="77"/>
      <c r="G116" s="78"/>
      <c r="H116" s="5"/>
      <c r="I116" s="5"/>
      <c r="J116" s="13"/>
      <c r="L116" s="2"/>
    </row>
    <row r="117" spans="1:12" ht="38.25" customHeight="1" x14ac:dyDescent="0.25">
      <c r="A117" s="9" t="s">
        <v>23</v>
      </c>
      <c r="B117" s="5"/>
      <c r="C117" s="4"/>
      <c r="D117" s="15" t="s">
        <v>138</v>
      </c>
      <c r="E117" s="41"/>
      <c r="F117" s="41">
        <f>1+1</f>
        <v>2</v>
      </c>
      <c r="G117" s="13" t="s">
        <v>52</v>
      </c>
      <c r="H117" s="41"/>
      <c r="I117" s="41">
        <f>F117*H117</f>
        <v>0</v>
      </c>
      <c r="J117" s="13" t="s">
        <v>120</v>
      </c>
      <c r="L117" s="2"/>
    </row>
    <row r="118" spans="1:12" ht="38.25" customHeight="1" x14ac:dyDescent="0.25">
      <c r="A118" s="9"/>
      <c r="B118" s="5"/>
      <c r="C118" s="4"/>
      <c r="D118" s="15" t="s">
        <v>154</v>
      </c>
      <c r="E118" s="41"/>
      <c r="F118" s="41"/>
      <c r="G118" s="13" t="s">
        <v>31</v>
      </c>
      <c r="H118" s="41"/>
      <c r="I118" s="41" t="s">
        <v>137</v>
      </c>
      <c r="J118" s="13"/>
      <c r="L118" s="2"/>
    </row>
    <row r="119" spans="1:12" ht="18.75" x14ac:dyDescent="0.25">
      <c r="A119" s="9" t="s">
        <v>24</v>
      </c>
      <c r="B119" s="5"/>
      <c r="C119" s="4"/>
      <c r="D119" s="4" t="s">
        <v>190</v>
      </c>
      <c r="E119" s="41"/>
      <c r="F119" s="41">
        <f>74</f>
        <v>74</v>
      </c>
      <c r="G119" s="13" t="s">
        <v>52</v>
      </c>
      <c r="H119" s="45"/>
      <c r="I119" s="57">
        <f>F119*H119</f>
        <v>0</v>
      </c>
      <c r="J119" s="13" t="s">
        <v>120</v>
      </c>
      <c r="L119" s="2"/>
    </row>
    <row r="120" spans="1:12" ht="18.75" x14ac:dyDescent="0.25">
      <c r="A120" s="9"/>
      <c r="B120" s="5"/>
      <c r="C120" s="4"/>
      <c r="D120" s="15" t="s">
        <v>155</v>
      </c>
      <c r="E120" s="41"/>
      <c r="F120" s="41"/>
      <c r="G120" s="13" t="s">
        <v>140</v>
      </c>
      <c r="H120" s="41"/>
      <c r="I120" s="41" t="s">
        <v>137</v>
      </c>
      <c r="J120" s="13"/>
      <c r="L120" s="2"/>
    </row>
    <row r="121" spans="1:12" ht="31.5" x14ac:dyDescent="0.25">
      <c r="A121" s="9"/>
      <c r="B121" s="5"/>
      <c r="C121" s="4"/>
      <c r="D121" s="15" t="s">
        <v>124</v>
      </c>
      <c r="E121" s="41"/>
      <c r="F121" s="41">
        <f>1+1</f>
        <v>2</v>
      </c>
      <c r="G121" s="13" t="s">
        <v>31</v>
      </c>
      <c r="H121" s="45">
        <f>(2273.8+1136)/F121</f>
        <v>1704.9</v>
      </c>
      <c r="I121" s="61">
        <f>F121*H121</f>
        <v>3409.8</v>
      </c>
      <c r="J121" s="13" t="s">
        <v>113</v>
      </c>
      <c r="L121" s="2"/>
    </row>
    <row r="122" spans="1:12" ht="18.75" x14ac:dyDescent="0.25">
      <c r="A122" s="9"/>
      <c r="B122" s="5"/>
      <c r="C122" s="4"/>
      <c r="D122" s="15" t="s">
        <v>189</v>
      </c>
      <c r="E122" s="41"/>
      <c r="F122" s="41">
        <v>6</v>
      </c>
      <c r="G122" s="13" t="s">
        <v>31</v>
      </c>
      <c r="H122" s="45"/>
      <c r="I122" s="57">
        <f>F122*H122</f>
        <v>0</v>
      </c>
      <c r="J122" s="13" t="s">
        <v>120</v>
      </c>
      <c r="L122" s="2"/>
    </row>
    <row r="123" spans="1:12" ht="31.5" x14ac:dyDescent="0.25">
      <c r="A123" s="9"/>
      <c r="B123" s="5"/>
      <c r="C123" s="4"/>
      <c r="D123" s="15" t="s">
        <v>124</v>
      </c>
      <c r="E123" s="41"/>
      <c r="F123" s="41">
        <f>1</f>
        <v>1</v>
      </c>
      <c r="G123" s="13" t="s">
        <v>31</v>
      </c>
      <c r="H123" s="45">
        <f>1799.8/F123</f>
        <v>1799.8</v>
      </c>
      <c r="I123" s="57">
        <f>F123*H123</f>
        <v>1799.8</v>
      </c>
      <c r="J123" s="13" t="s">
        <v>113</v>
      </c>
      <c r="L123" s="2"/>
    </row>
    <row r="124" spans="1:12" ht="18.75" x14ac:dyDescent="0.25">
      <c r="A124" s="9"/>
      <c r="B124" s="5"/>
      <c r="C124" s="4"/>
      <c r="D124" s="15" t="s">
        <v>160</v>
      </c>
      <c r="E124" s="41"/>
      <c r="F124" s="41">
        <f>34+8</f>
        <v>42</v>
      </c>
      <c r="G124" s="13" t="s">
        <v>31</v>
      </c>
      <c r="H124" s="45">
        <f>(2792+655.6)/F124</f>
        <v>82.085714285714289</v>
      </c>
      <c r="I124" s="41">
        <f>F124*H124</f>
        <v>3447.6000000000004</v>
      </c>
      <c r="J124" s="13" t="s">
        <v>113</v>
      </c>
      <c r="L124" s="2"/>
    </row>
    <row r="125" spans="1:12" ht="18.75" x14ac:dyDescent="0.25">
      <c r="A125" s="9"/>
      <c r="B125" s="5"/>
      <c r="C125" s="4"/>
      <c r="D125" s="15" t="s">
        <v>103</v>
      </c>
      <c r="E125" s="32"/>
      <c r="F125" s="13">
        <f>4+3+5+6+12+8+6+19+7+14+7+10</f>
        <v>101</v>
      </c>
      <c r="G125" s="13" t="s">
        <v>52</v>
      </c>
      <c r="H125" s="33">
        <f>(699+525+874.8+1402+2028.6+1351.6+1029+3261.2+1201+2417.2+1209.2+1727.4)/F125</f>
        <v>175.50495049504954</v>
      </c>
      <c r="I125" s="13">
        <f t="shared" ref="I125" si="4">F125*H125</f>
        <v>17726.000000000004</v>
      </c>
      <c r="J125" s="13" t="s">
        <v>113</v>
      </c>
      <c r="L125" s="2"/>
    </row>
    <row r="126" spans="1:12" ht="56.25" x14ac:dyDescent="0.25">
      <c r="A126" s="9" t="s">
        <v>104</v>
      </c>
      <c r="B126" s="5"/>
      <c r="C126" s="4"/>
      <c r="D126" s="15" t="s">
        <v>122</v>
      </c>
      <c r="E126" s="32"/>
      <c r="F126" s="13">
        <f>30+30+30+30+30+30+30+30+30+30+30+30</f>
        <v>360</v>
      </c>
      <c r="G126" s="13" t="s">
        <v>105</v>
      </c>
      <c r="H126" s="33">
        <f>(1313.8+1313.8+1313.8+1323.8+1323.8+1323.8+1375+1375+1375+1392.2+1392.2+1392.2)/F126</f>
        <v>45.040000000000006</v>
      </c>
      <c r="I126" s="13">
        <f>F126*H126</f>
        <v>16214.400000000001</v>
      </c>
      <c r="J126" s="13" t="s">
        <v>113</v>
      </c>
      <c r="L126" s="2"/>
    </row>
    <row r="127" spans="1:12" ht="18.75" x14ac:dyDescent="0.25">
      <c r="A127" s="46"/>
      <c r="B127" s="22"/>
      <c r="C127" s="22"/>
      <c r="D127" s="30"/>
      <c r="E127" s="48"/>
      <c r="F127" s="49"/>
      <c r="G127" s="31"/>
      <c r="H127" s="31"/>
      <c r="I127" s="13">
        <f>SUM(I117:I126)</f>
        <v>42597.600000000006</v>
      </c>
      <c r="J127" s="13"/>
      <c r="L127" s="2"/>
    </row>
    <row r="128" spans="1:12" ht="18.75" x14ac:dyDescent="0.25">
      <c r="A128" s="83" t="s">
        <v>88</v>
      </c>
      <c r="B128" s="84"/>
      <c r="C128" s="84"/>
      <c r="D128" s="84"/>
      <c r="E128" s="84"/>
      <c r="F128" s="84"/>
      <c r="G128" s="85"/>
      <c r="H128" s="12"/>
      <c r="I128" s="5"/>
      <c r="J128" s="13"/>
      <c r="L128" s="2"/>
    </row>
    <row r="129" spans="1:12" ht="18.75" x14ac:dyDescent="0.25">
      <c r="A129" s="26"/>
      <c r="B129" s="27"/>
      <c r="C129" s="27"/>
      <c r="D129" s="36" t="s">
        <v>114</v>
      </c>
      <c r="E129" s="41"/>
      <c r="F129" s="41">
        <f>2+2</f>
        <v>4</v>
      </c>
      <c r="G129" s="38" t="s">
        <v>31</v>
      </c>
      <c r="H129" s="41">
        <f>(2630.4+2710.2)/F129</f>
        <v>1335.15</v>
      </c>
      <c r="I129" s="41">
        <f>F129*H129</f>
        <v>5340.6</v>
      </c>
      <c r="J129" s="13" t="s">
        <v>142</v>
      </c>
      <c r="L129" s="2"/>
    </row>
    <row r="130" spans="1:12" ht="63" x14ac:dyDescent="0.25">
      <c r="A130" s="9" t="s">
        <v>86</v>
      </c>
      <c r="B130" s="22"/>
      <c r="C130" s="22"/>
      <c r="D130" s="23" t="s">
        <v>116</v>
      </c>
      <c r="E130" s="37">
        <v>1167</v>
      </c>
      <c r="F130" s="13">
        <v>1167</v>
      </c>
      <c r="G130" s="31" t="s">
        <v>87</v>
      </c>
      <c r="H130" s="31">
        <v>4.8</v>
      </c>
      <c r="I130" s="13">
        <f>F130*H130*12</f>
        <v>67219.199999999997</v>
      </c>
      <c r="J130" s="13" t="s">
        <v>113</v>
      </c>
      <c r="L130" s="2"/>
    </row>
    <row r="131" spans="1:12" ht="18.75" x14ac:dyDescent="0.25">
      <c r="A131" s="46"/>
      <c r="B131" s="22"/>
      <c r="C131" s="22"/>
      <c r="D131" s="30"/>
      <c r="E131" s="48"/>
      <c r="F131" s="49"/>
      <c r="G131" s="31"/>
      <c r="H131" s="31"/>
      <c r="I131" s="33">
        <f>SUM(I129:I130)</f>
        <v>72559.8</v>
      </c>
      <c r="J131" s="13"/>
      <c r="L131" s="2"/>
    </row>
    <row r="132" spans="1:12" ht="18.75" x14ac:dyDescent="0.3">
      <c r="A132" s="76" t="s">
        <v>76</v>
      </c>
      <c r="B132" s="77"/>
      <c r="C132" s="77"/>
      <c r="D132" s="77"/>
      <c r="E132" s="77"/>
      <c r="F132" s="77"/>
      <c r="G132" s="78"/>
      <c r="H132" s="19"/>
      <c r="I132" s="5"/>
      <c r="J132" s="13"/>
      <c r="L132" s="2"/>
    </row>
    <row r="133" spans="1:12" ht="46.5" customHeight="1" x14ac:dyDescent="0.3">
      <c r="A133" s="34" t="s">
        <v>129</v>
      </c>
      <c r="B133" s="24"/>
      <c r="C133" s="24"/>
      <c r="D133" s="35" t="s">
        <v>128</v>
      </c>
      <c r="E133" s="13">
        <v>280</v>
      </c>
      <c r="F133" s="13">
        <v>280</v>
      </c>
      <c r="G133" s="13" t="s">
        <v>136</v>
      </c>
      <c r="H133" s="13">
        <v>13</v>
      </c>
      <c r="I133" s="13">
        <f>F133*H133*3</f>
        <v>10920</v>
      </c>
      <c r="J133" s="13" t="s">
        <v>143</v>
      </c>
      <c r="L133" s="2"/>
    </row>
    <row r="134" spans="1:12" ht="18.75" x14ac:dyDescent="0.25">
      <c r="A134" s="9" t="s">
        <v>25</v>
      </c>
      <c r="B134" s="5"/>
      <c r="C134" s="4"/>
      <c r="D134" s="4" t="s">
        <v>73</v>
      </c>
      <c r="E134" s="41" t="s">
        <v>137</v>
      </c>
      <c r="F134" s="41" t="s">
        <v>137</v>
      </c>
      <c r="G134" s="14" t="s">
        <v>52</v>
      </c>
      <c r="H134" s="41" t="s">
        <v>137</v>
      </c>
      <c r="I134" s="41" t="s">
        <v>137</v>
      </c>
      <c r="J134" s="13"/>
      <c r="L134" s="2"/>
    </row>
    <row r="135" spans="1:12" ht="47.25" x14ac:dyDescent="0.25">
      <c r="A135" s="9" t="s">
        <v>26</v>
      </c>
      <c r="B135" s="5"/>
      <c r="C135" s="4"/>
      <c r="D135" s="15" t="s">
        <v>28</v>
      </c>
      <c r="E135" s="41" t="s">
        <v>137</v>
      </c>
      <c r="F135" s="41" t="s">
        <v>137</v>
      </c>
      <c r="G135" s="14" t="s">
        <v>52</v>
      </c>
      <c r="H135" s="41" t="s">
        <v>137</v>
      </c>
      <c r="I135" s="41" t="s">
        <v>137</v>
      </c>
      <c r="J135" s="13"/>
      <c r="L135" s="2"/>
    </row>
    <row r="136" spans="1:12" ht="31.5" x14ac:dyDescent="0.25">
      <c r="A136" s="9" t="s">
        <v>27</v>
      </c>
      <c r="B136" s="5"/>
      <c r="C136" s="4"/>
      <c r="D136" s="15" t="s">
        <v>72</v>
      </c>
      <c r="E136" s="41" t="s">
        <v>137</v>
      </c>
      <c r="F136" s="41" t="s">
        <v>137</v>
      </c>
      <c r="G136" s="14" t="s">
        <v>52</v>
      </c>
      <c r="H136" s="41" t="s">
        <v>137</v>
      </c>
      <c r="I136" s="41" t="s">
        <v>137</v>
      </c>
      <c r="J136" s="13"/>
      <c r="L136" s="2"/>
    </row>
    <row r="137" spans="1:12" ht="18.75" x14ac:dyDescent="0.25">
      <c r="A137" s="46"/>
      <c r="B137" s="22"/>
      <c r="C137" s="22"/>
      <c r="D137" s="30"/>
      <c r="E137" s="44"/>
      <c r="F137" s="44"/>
      <c r="G137" s="12"/>
      <c r="H137" s="50"/>
      <c r="I137" s="50">
        <f>SUM(I133:I136)</f>
        <v>10920</v>
      </c>
      <c r="J137" s="51"/>
      <c r="L137" s="2"/>
    </row>
    <row r="138" spans="1:12" ht="18.75" x14ac:dyDescent="0.3">
      <c r="A138" s="76" t="s">
        <v>81</v>
      </c>
      <c r="B138" s="77"/>
      <c r="C138" s="77"/>
      <c r="D138" s="77"/>
      <c r="E138" s="77"/>
      <c r="F138" s="77"/>
      <c r="G138" s="78"/>
      <c r="H138" s="2"/>
      <c r="I138" s="2"/>
      <c r="J138" s="2"/>
      <c r="K138" s="2"/>
      <c r="L138" s="2"/>
    </row>
    <row r="139" spans="1:12" ht="48" x14ac:dyDescent="0.3">
      <c r="A139" s="6" t="s">
        <v>64</v>
      </c>
      <c r="B139" s="6"/>
      <c r="C139" s="4"/>
      <c r="D139" s="15" t="s">
        <v>82</v>
      </c>
      <c r="E139" s="41"/>
      <c r="F139" s="41"/>
      <c r="G139" s="13" t="s">
        <v>110</v>
      </c>
      <c r="H139" s="41"/>
      <c r="I139" s="45"/>
      <c r="J139" s="13"/>
      <c r="L139" s="2"/>
    </row>
    <row r="140" spans="1:12" ht="32.25" x14ac:dyDescent="0.3">
      <c r="A140" s="28"/>
      <c r="B140" s="29"/>
      <c r="C140" s="22"/>
      <c r="D140" s="30" t="s">
        <v>106</v>
      </c>
      <c r="E140" s="41">
        <v>1</v>
      </c>
      <c r="F140" s="41">
        <v>1</v>
      </c>
      <c r="G140" s="13" t="s">
        <v>107</v>
      </c>
      <c r="H140" s="41">
        <v>20910</v>
      </c>
      <c r="I140" s="45">
        <f>F140*H140</f>
        <v>20910</v>
      </c>
      <c r="J140" s="39" t="s">
        <v>115</v>
      </c>
      <c r="L140" s="2"/>
    </row>
    <row r="141" spans="1:12" ht="18.75" x14ac:dyDescent="0.3">
      <c r="A141" s="28"/>
      <c r="B141" s="29"/>
      <c r="C141" s="22"/>
      <c r="D141" s="30"/>
      <c r="E141" s="44"/>
      <c r="F141" s="44"/>
      <c r="G141" s="31"/>
      <c r="H141" s="44"/>
      <c r="I141" s="53">
        <f>SUM(I139:I140)</f>
        <v>20910</v>
      </c>
      <c r="J141" s="52"/>
      <c r="L141" s="2"/>
    </row>
    <row r="142" spans="1:12" ht="18.75" x14ac:dyDescent="0.3">
      <c r="A142" s="76" t="s">
        <v>95</v>
      </c>
      <c r="B142" s="77"/>
      <c r="C142" s="77"/>
      <c r="D142" s="77"/>
      <c r="E142" s="77"/>
      <c r="F142" s="77"/>
      <c r="G142" s="78"/>
      <c r="H142" s="76"/>
      <c r="I142" s="77"/>
      <c r="J142" s="77"/>
      <c r="L142" s="2"/>
    </row>
    <row r="143" spans="1:12" ht="32.25" x14ac:dyDescent="0.3">
      <c r="A143" s="34" t="s">
        <v>141</v>
      </c>
      <c r="B143" s="24"/>
      <c r="C143" s="24"/>
      <c r="D143" s="40" t="s">
        <v>131</v>
      </c>
      <c r="E143" s="13"/>
      <c r="F143" s="13">
        <f>2+2</f>
        <v>4</v>
      </c>
      <c r="G143" s="13" t="s">
        <v>132</v>
      </c>
      <c r="H143" s="13"/>
      <c r="I143" s="58">
        <f t="shared" ref="I143:I146" si="5">F143*H143</f>
        <v>0</v>
      </c>
      <c r="J143" s="13" t="s">
        <v>121</v>
      </c>
      <c r="L143" s="2"/>
    </row>
    <row r="144" spans="1:12" ht="48" x14ac:dyDescent="0.3">
      <c r="A144" s="24"/>
      <c r="B144" s="24"/>
      <c r="C144" s="24"/>
      <c r="D144" s="40" t="s">
        <v>133</v>
      </c>
      <c r="E144" s="41"/>
      <c r="F144" s="41">
        <f>100</f>
        <v>100</v>
      </c>
      <c r="G144" s="13" t="s">
        <v>134</v>
      </c>
      <c r="H144" s="41">
        <f>(70000)/F144</f>
        <v>700</v>
      </c>
      <c r="I144" s="59">
        <f>F144*H144</f>
        <v>70000</v>
      </c>
      <c r="J144" s="13" t="s">
        <v>121</v>
      </c>
      <c r="L144" s="2"/>
    </row>
    <row r="145" spans="1:12" ht="32.25" x14ac:dyDescent="0.3">
      <c r="A145" s="24"/>
      <c r="B145" s="24"/>
      <c r="C145" s="24"/>
      <c r="D145" s="40" t="s">
        <v>183</v>
      </c>
      <c r="E145" s="13"/>
      <c r="F145" s="13">
        <f>610+270</f>
        <v>880</v>
      </c>
      <c r="G145" s="13" t="s">
        <v>135</v>
      </c>
      <c r="H145" s="33">
        <f>(27956+12374)/F145</f>
        <v>45.829545454545453</v>
      </c>
      <c r="I145" s="58">
        <f t="shared" si="5"/>
        <v>40330</v>
      </c>
      <c r="J145" s="13" t="s">
        <v>121</v>
      </c>
      <c r="L145" s="2"/>
    </row>
    <row r="146" spans="1:12" ht="32.25" x14ac:dyDescent="0.3">
      <c r="A146" s="24"/>
      <c r="B146" s="24"/>
      <c r="C146" s="24"/>
      <c r="D146" s="40" t="s">
        <v>184</v>
      </c>
      <c r="E146" s="13"/>
      <c r="F146" s="13">
        <f>640+70+30</f>
        <v>740</v>
      </c>
      <c r="G146" s="13" t="s">
        <v>135</v>
      </c>
      <c r="H146" s="33">
        <f>(29331+3208+1375)/F146</f>
        <v>45.829729729729728</v>
      </c>
      <c r="I146" s="58">
        <f t="shared" si="5"/>
        <v>33914</v>
      </c>
      <c r="J146" s="13" t="s">
        <v>121</v>
      </c>
      <c r="L146" s="2"/>
    </row>
    <row r="147" spans="1:12" ht="18.75" x14ac:dyDescent="0.3">
      <c r="A147" s="24"/>
      <c r="B147" s="24"/>
      <c r="C147" s="24"/>
      <c r="D147" s="40" t="s">
        <v>172</v>
      </c>
      <c r="E147" s="13"/>
      <c r="F147" s="13"/>
      <c r="G147" s="13" t="s">
        <v>110</v>
      </c>
      <c r="H147" s="13"/>
      <c r="I147" s="13"/>
      <c r="J147" s="13"/>
      <c r="L147" s="2"/>
    </row>
    <row r="148" spans="1:12" ht="48" x14ac:dyDescent="0.3">
      <c r="A148" s="24"/>
      <c r="B148" s="24"/>
      <c r="C148" s="24"/>
      <c r="D148" s="40" t="s">
        <v>181</v>
      </c>
      <c r="E148" s="13"/>
      <c r="F148" s="13">
        <f>15+93.5</f>
        <v>108.5</v>
      </c>
      <c r="G148" s="38" t="s">
        <v>110</v>
      </c>
      <c r="H148" s="33">
        <f>(9441.4+58844.8)/F148</f>
        <v>629.36589861751145</v>
      </c>
      <c r="I148" s="60">
        <f t="shared" ref="I148:I153" si="6">F148*H148</f>
        <v>68286.2</v>
      </c>
      <c r="J148" s="13" t="s">
        <v>120</v>
      </c>
      <c r="L148" s="2"/>
    </row>
    <row r="149" spans="1:12" ht="18.75" x14ac:dyDescent="0.3">
      <c r="A149" s="24"/>
      <c r="B149" s="24"/>
      <c r="C149" s="24"/>
      <c r="D149" s="40" t="s">
        <v>204</v>
      </c>
      <c r="E149" s="13"/>
      <c r="F149" s="13">
        <v>1</v>
      </c>
      <c r="G149" s="38" t="s">
        <v>110</v>
      </c>
      <c r="H149" s="33">
        <f>5063.4/F149</f>
        <v>5063.3999999999996</v>
      </c>
      <c r="I149" s="60">
        <f t="shared" si="6"/>
        <v>5063.3999999999996</v>
      </c>
      <c r="J149" s="13" t="s">
        <v>120</v>
      </c>
      <c r="L149" s="2"/>
    </row>
    <row r="150" spans="1:12" ht="18.75" x14ac:dyDescent="0.3">
      <c r="A150" s="24"/>
      <c r="B150" s="24"/>
      <c r="C150" s="24"/>
      <c r="D150" s="40" t="s">
        <v>152</v>
      </c>
      <c r="E150" s="13"/>
      <c r="F150" s="13">
        <f>1.5</f>
        <v>1.5</v>
      </c>
      <c r="G150" s="38" t="s">
        <v>195</v>
      </c>
      <c r="H150" s="33">
        <f>5260.4/F150</f>
        <v>3506.9333333333329</v>
      </c>
      <c r="I150" s="60">
        <f>F150*H150</f>
        <v>5260.4</v>
      </c>
      <c r="J150" s="13" t="s">
        <v>118</v>
      </c>
      <c r="L150" s="2"/>
    </row>
    <row r="151" spans="1:12" ht="18.75" x14ac:dyDescent="0.3">
      <c r="A151" s="24"/>
      <c r="B151" s="24"/>
      <c r="C151" s="24"/>
      <c r="D151" s="40" t="s">
        <v>198</v>
      </c>
      <c r="E151" s="13"/>
      <c r="F151" s="13">
        <v>1</v>
      </c>
      <c r="G151" s="38" t="s">
        <v>31</v>
      </c>
      <c r="H151" s="33">
        <f>12553/F151</f>
        <v>12553</v>
      </c>
      <c r="I151" s="60">
        <f t="shared" si="6"/>
        <v>12553</v>
      </c>
      <c r="J151" s="13" t="s">
        <v>115</v>
      </c>
      <c r="L151" s="2"/>
    </row>
    <row r="152" spans="1:12" ht="18.75" x14ac:dyDescent="0.3">
      <c r="A152" s="24"/>
      <c r="B152" s="24"/>
      <c r="C152" s="24"/>
      <c r="D152" s="40" t="s">
        <v>213</v>
      </c>
      <c r="E152" s="13"/>
      <c r="F152" s="13">
        <v>8</v>
      </c>
      <c r="G152" s="38" t="s">
        <v>134</v>
      </c>
      <c r="H152" s="13">
        <f>7274/F152</f>
        <v>909.25</v>
      </c>
      <c r="I152" s="60">
        <f t="shared" si="6"/>
        <v>7274</v>
      </c>
      <c r="J152" s="13" t="s">
        <v>120</v>
      </c>
      <c r="L152" s="2"/>
    </row>
    <row r="153" spans="1:12" ht="18.75" x14ac:dyDescent="0.3">
      <c r="A153" s="34" t="s">
        <v>150</v>
      </c>
      <c r="B153" s="14"/>
      <c r="C153" s="14"/>
      <c r="D153" s="40" t="s">
        <v>207</v>
      </c>
      <c r="E153" s="41"/>
      <c r="F153" s="41">
        <f>1</f>
        <v>1</v>
      </c>
      <c r="G153" s="13" t="s">
        <v>31</v>
      </c>
      <c r="H153" s="41">
        <f>2655.6/F153</f>
        <v>2655.6</v>
      </c>
      <c r="I153" s="57">
        <f t="shared" si="6"/>
        <v>2655.6</v>
      </c>
      <c r="J153" s="14" t="s">
        <v>120</v>
      </c>
      <c r="L153" s="2"/>
    </row>
    <row r="154" spans="1:12" ht="63.75" x14ac:dyDescent="0.3">
      <c r="A154" s="34"/>
      <c r="B154" s="14"/>
      <c r="C154" s="14"/>
      <c r="D154" s="40" t="s">
        <v>225</v>
      </c>
      <c r="E154" s="13"/>
      <c r="F154" s="13">
        <v>4</v>
      </c>
      <c r="G154" s="13" t="s">
        <v>226</v>
      </c>
      <c r="H154" s="13">
        <f>(7572.2)/F154</f>
        <v>1893.05</v>
      </c>
      <c r="I154" s="60">
        <f t="shared" ref="I154:I155" si="7">F154*H154</f>
        <v>7572.2</v>
      </c>
      <c r="J154" s="14" t="s">
        <v>120</v>
      </c>
      <c r="L154" s="2"/>
    </row>
    <row r="155" spans="1:12" ht="18.75" x14ac:dyDescent="0.3">
      <c r="A155" s="34"/>
      <c r="B155" s="14"/>
      <c r="C155" s="14"/>
      <c r="D155" s="40" t="s">
        <v>227</v>
      </c>
      <c r="E155" s="13"/>
      <c r="F155" s="13">
        <v>1</v>
      </c>
      <c r="G155" s="13" t="s">
        <v>228</v>
      </c>
      <c r="H155" s="13">
        <f>15000/F155</f>
        <v>15000</v>
      </c>
      <c r="I155" s="60">
        <f t="shared" si="7"/>
        <v>15000</v>
      </c>
      <c r="J155" s="14" t="s">
        <v>120</v>
      </c>
      <c r="L155" s="2"/>
    </row>
    <row r="156" spans="1:12" ht="31.5" x14ac:dyDescent="0.3">
      <c r="A156" s="34" t="s">
        <v>229</v>
      </c>
      <c r="B156" s="14"/>
      <c r="C156" s="14"/>
      <c r="D156" s="43" t="s">
        <v>230</v>
      </c>
      <c r="E156" s="14"/>
      <c r="F156" s="14">
        <f>3</f>
        <v>3</v>
      </c>
      <c r="G156" s="38" t="s">
        <v>110</v>
      </c>
      <c r="H156" s="14">
        <f>1929/F156</f>
        <v>643</v>
      </c>
      <c r="I156" s="66">
        <f>F156*H156</f>
        <v>1929</v>
      </c>
      <c r="J156" s="14" t="s">
        <v>118</v>
      </c>
      <c r="L156" s="2"/>
    </row>
    <row r="157" spans="1:12" ht="18.75" x14ac:dyDescent="0.3">
      <c r="A157" s="34"/>
      <c r="B157" s="14"/>
      <c r="C157" s="14"/>
      <c r="D157" s="43" t="s">
        <v>231</v>
      </c>
      <c r="E157" s="14"/>
      <c r="F157" s="14">
        <f>4.86</f>
        <v>4.8600000000000003</v>
      </c>
      <c r="G157" s="38" t="s">
        <v>140</v>
      </c>
      <c r="H157" s="54">
        <f>2119.6/F157</f>
        <v>436.13168724279831</v>
      </c>
      <c r="I157" s="66">
        <f>F157*H157</f>
        <v>2119.6</v>
      </c>
      <c r="J157" s="14" t="s">
        <v>118</v>
      </c>
      <c r="L157" s="2"/>
    </row>
    <row r="158" spans="1:12" ht="18.75" x14ac:dyDescent="0.3">
      <c r="A158" s="34"/>
      <c r="B158" s="14"/>
      <c r="C158" s="14"/>
      <c r="D158" s="43"/>
      <c r="E158" s="14"/>
      <c r="F158" s="14"/>
      <c r="G158" s="38"/>
      <c r="H158" s="14"/>
      <c r="I158" s="54">
        <f>SUM(I143:I157)</f>
        <v>271957.40000000002</v>
      </c>
      <c r="J158" s="14"/>
      <c r="L158" s="2"/>
    </row>
    <row r="159" spans="1:12" ht="18.75" x14ac:dyDescent="0.3">
      <c r="A159" s="68" t="s">
        <v>196</v>
      </c>
      <c r="B159" s="14"/>
      <c r="C159" s="14"/>
      <c r="D159" s="43"/>
      <c r="E159" s="14"/>
      <c r="F159" s="14"/>
      <c r="G159" s="38"/>
      <c r="H159" s="14"/>
      <c r="I159" s="69">
        <f>I156+I155+I154+I153+I152+I151+I150+I149+I148+I146+I145+I144+I143+I123+I122+I119+I107+I102+I100+I94+I93+I92+I91+I87+I88+I86+I85+I84+I83+I75+I73+I60+I59+I55+I54+I48+I47+I45+I44+I43+I42+I41+I40+I39+I38+I37+I27+I19+I20+I89+I157</f>
        <v>611972.19999999984</v>
      </c>
      <c r="J159" s="14"/>
      <c r="L159" s="72"/>
    </row>
    <row r="160" spans="1:12" ht="15.75" x14ac:dyDescent="0.25">
      <c r="A160" s="55" t="s">
        <v>182</v>
      </c>
      <c r="B160" s="25"/>
      <c r="C160" s="25"/>
      <c r="D160" s="43"/>
      <c r="E160" s="13"/>
      <c r="F160" s="13"/>
      <c r="G160" s="38"/>
      <c r="H160" s="13"/>
      <c r="I160" s="56">
        <f>I15+I34+I56+I80+I96+I104+I115+I127+I131+I137+I141+I158</f>
        <v>1301789.6000000001</v>
      </c>
      <c r="J160" s="14"/>
      <c r="K160" s="2"/>
      <c r="L160" s="2"/>
    </row>
    <row r="161" spans="1:12" ht="99.75" customHeight="1" x14ac:dyDescent="0.25">
      <c r="A161" s="73" t="s">
        <v>102</v>
      </c>
      <c r="B161" s="73"/>
      <c r="C161" s="73"/>
      <c r="D161" s="73"/>
      <c r="E161" s="73"/>
      <c r="F161" s="73"/>
      <c r="G161" s="73"/>
      <c r="H161" s="73"/>
      <c r="I161" s="73"/>
      <c r="J161" s="73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6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6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6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</sheetData>
  <mergeCells count="16">
    <mergeCell ref="A161:J161"/>
    <mergeCell ref="A2:J2"/>
    <mergeCell ref="A142:G142"/>
    <mergeCell ref="H142:J142"/>
    <mergeCell ref="I1:J1"/>
    <mergeCell ref="A97:G97"/>
    <mergeCell ref="A116:G116"/>
    <mergeCell ref="A138:G138"/>
    <mergeCell ref="A35:G35"/>
    <mergeCell ref="A15:G15"/>
    <mergeCell ref="A4:G4"/>
    <mergeCell ref="A128:G128"/>
    <mergeCell ref="A57:G57"/>
    <mergeCell ref="A81:G81"/>
    <mergeCell ref="A105:G105"/>
    <mergeCell ref="A132:G132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2025-01-29T13:34:42Z</cp:lastPrinted>
  <dcterms:created xsi:type="dcterms:W3CDTF">2017-05-29T12:14:13Z</dcterms:created>
  <dcterms:modified xsi:type="dcterms:W3CDTF">2025-03-14T04:48:35Z</dcterms:modified>
</cp:coreProperties>
</file>