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1" i="1" l="1"/>
  <c r="F99" i="1" l="1"/>
  <c r="F106" i="1"/>
  <c r="H106" i="1" s="1"/>
  <c r="H63" i="1"/>
  <c r="H30" i="1"/>
  <c r="I30" i="1" s="1"/>
  <c r="F29" i="1"/>
  <c r="F72" i="1"/>
  <c r="H72" i="1" s="1"/>
  <c r="F151" i="1"/>
  <c r="H151" i="1" s="1"/>
  <c r="F115" i="1"/>
  <c r="H115" i="1" s="1"/>
  <c r="F131" i="1"/>
  <c r="H131" i="1" s="1"/>
  <c r="F128" i="1"/>
  <c r="H128" i="1" s="1"/>
  <c r="H85" i="1"/>
  <c r="I72" i="1" l="1"/>
  <c r="H29" i="1"/>
  <c r="I29" i="1" s="1"/>
  <c r="H99" i="1"/>
  <c r="I99" i="1" s="1"/>
  <c r="I106" i="1"/>
  <c r="F117" i="1"/>
  <c r="H117" i="1" s="1"/>
  <c r="F155" i="1" l="1"/>
  <c r="H155" i="1" s="1"/>
  <c r="F61" i="1"/>
  <c r="H60" i="1"/>
  <c r="H61" i="1" l="1"/>
  <c r="I61" i="1" s="1"/>
  <c r="I60" i="1"/>
  <c r="F37" i="1" l="1"/>
  <c r="H37" i="1" s="1"/>
  <c r="F116" i="1"/>
  <c r="H116" i="1" s="1"/>
  <c r="F125" i="1"/>
  <c r="H125" i="1" s="1"/>
  <c r="F87" i="1"/>
  <c r="H87" i="1" s="1"/>
  <c r="H59" i="1" l="1"/>
  <c r="I59" i="1" s="1"/>
  <c r="F45" i="1"/>
  <c r="H45" i="1" s="1"/>
  <c r="F55" i="1"/>
  <c r="H55" i="1" s="1"/>
  <c r="F56" i="1"/>
  <c r="H56" i="1" s="1"/>
  <c r="F57" i="1"/>
  <c r="H57" i="1" s="1"/>
  <c r="F48" i="1"/>
  <c r="H48" i="1" s="1"/>
  <c r="F22" i="1"/>
  <c r="F111" i="1"/>
  <c r="F102" i="1"/>
  <c r="H102" i="1" s="1"/>
  <c r="F134" i="1"/>
  <c r="H134" i="1" s="1"/>
  <c r="F130" i="1"/>
  <c r="H129" i="1"/>
  <c r="H111" i="1" l="1"/>
  <c r="I111" i="1" s="1"/>
  <c r="H130" i="1"/>
  <c r="I130" i="1" s="1"/>
  <c r="H22" i="1"/>
  <c r="I22" i="1" s="1"/>
  <c r="F68" i="1"/>
  <c r="H68" i="1" s="1"/>
  <c r="F52" i="1"/>
  <c r="H52" i="1" s="1"/>
  <c r="F51" i="1"/>
  <c r="H51" i="1" s="1"/>
  <c r="H44" i="1"/>
  <c r="H67" i="1"/>
  <c r="H66" i="1"/>
  <c r="I66" i="1" s="1"/>
  <c r="F65" i="1"/>
  <c r="F64" i="1"/>
  <c r="H64" i="1" s="1"/>
  <c r="F8" i="1"/>
  <c r="H8" i="1" s="1"/>
  <c r="F43" i="1"/>
  <c r="H43" i="1" s="1"/>
  <c r="H58" i="1"/>
  <c r="I58" i="1" s="1"/>
  <c r="F109" i="1"/>
  <c r="H109" i="1" s="1"/>
  <c r="F108" i="1"/>
  <c r="H108" i="1" s="1"/>
  <c r="F107" i="1"/>
  <c r="H107" i="1" s="1"/>
  <c r="F90" i="1"/>
  <c r="H90" i="1" s="1"/>
  <c r="I90" i="1" l="1"/>
  <c r="I108" i="1"/>
  <c r="H65" i="1"/>
  <c r="I65" i="1" s="1"/>
  <c r="I68" i="1"/>
  <c r="I107" i="1"/>
  <c r="I109" i="1"/>
  <c r="I51" i="1"/>
  <c r="I52" i="1"/>
  <c r="I67" i="1"/>
  <c r="I56" i="1" l="1"/>
  <c r="I55" i="1"/>
  <c r="F54" i="1"/>
  <c r="F53" i="1"/>
  <c r="H53" i="1" s="1"/>
  <c r="F50" i="1"/>
  <c r="H50" i="1" s="1"/>
  <c r="F78" i="1"/>
  <c r="H78" i="1" s="1"/>
  <c r="F77" i="1"/>
  <c r="H77" i="1" s="1"/>
  <c r="I48" i="1"/>
  <c r="F47" i="1"/>
  <c r="H47" i="1" s="1"/>
  <c r="F75" i="1"/>
  <c r="H75" i="1" s="1"/>
  <c r="F74" i="1"/>
  <c r="H74" i="1" s="1"/>
  <c r="F73" i="1"/>
  <c r="F100" i="1"/>
  <c r="H100" i="1" s="1"/>
  <c r="H73" i="1" l="1"/>
  <c r="I73" i="1" s="1"/>
  <c r="I75" i="1"/>
  <c r="I50" i="1"/>
  <c r="H54" i="1"/>
  <c r="I54" i="1" s="1"/>
  <c r="I74" i="1"/>
  <c r="I53" i="1"/>
  <c r="I57" i="1"/>
  <c r="I8" i="1"/>
  <c r="F46" i="1"/>
  <c r="H46" i="1" s="1"/>
  <c r="H156" i="1"/>
  <c r="F159" i="1"/>
  <c r="H159" i="1" s="1"/>
  <c r="F158" i="1"/>
  <c r="H158" i="1" s="1"/>
  <c r="F157" i="1"/>
  <c r="H157" i="1" s="1"/>
  <c r="H36" i="1"/>
  <c r="F92" i="1"/>
  <c r="H92" i="1" s="1"/>
  <c r="H38" i="1" l="1"/>
  <c r="F27" i="1"/>
  <c r="H27" i="1" s="1"/>
  <c r="H5" i="1"/>
  <c r="I5" i="1" s="1"/>
  <c r="I27" i="1" l="1"/>
  <c r="I155" i="1"/>
  <c r="H39" i="1"/>
  <c r="F6" i="1"/>
  <c r="H6" i="1" s="1"/>
  <c r="F150" i="1"/>
  <c r="H150" i="1" s="1"/>
  <c r="F126" i="1"/>
  <c r="F124" i="1"/>
  <c r="H124" i="1" s="1"/>
  <c r="F149" i="1"/>
  <c r="H149" i="1" s="1"/>
  <c r="F152" i="1"/>
  <c r="H152" i="1" s="1"/>
  <c r="F154" i="1"/>
  <c r="H154" i="1" s="1"/>
  <c r="F49" i="1"/>
  <c r="H49" i="1" s="1"/>
  <c r="F127" i="1"/>
  <c r="H127" i="1" s="1"/>
  <c r="I127" i="1" l="1"/>
  <c r="H126" i="1"/>
  <c r="I126" i="1" s="1"/>
  <c r="I49" i="1"/>
  <c r="I6" i="1"/>
  <c r="I102" i="1"/>
  <c r="I46" i="1" l="1"/>
  <c r="I47" i="1"/>
  <c r="F93" i="1"/>
  <c r="H93" i="1" s="1"/>
  <c r="I125" i="1" l="1"/>
  <c r="I39" i="1"/>
  <c r="I38" i="1"/>
  <c r="I78" i="1"/>
  <c r="I77" i="1"/>
  <c r="I82" i="1" l="1"/>
  <c r="I159" i="1"/>
  <c r="I158" i="1"/>
  <c r="I93" i="1"/>
  <c r="I100" i="1" l="1"/>
  <c r="I157" i="1"/>
  <c r="I45" i="1"/>
  <c r="I156" i="1"/>
  <c r="I104" i="1" l="1"/>
  <c r="I92" i="1"/>
  <c r="F86" i="1"/>
  <c r="H86" i="1" s="1"/>
  <c r="I37" i="1" l="1"/>
  <c r="I36" i="1"/>
  <c r="I64" i="1"/>
  <c r="I63" i="1"/>
  <c r="I41" i="1" l="1"/>
  <c r="I116" i="1"/>
  <c r="I134" i="1"/>
  <c r="I150" i="1"/>
  <c r="I149" i="1"/>
  <c r="I152" i="1" l="1"/>
  <c r="I151" i="1"/>
  <c r="I124" i="1" l="1"/>
  <c r="I16" i="1"/>
  <c r="I154" i="1"/>
  <c r="I153" i="1"/>
  <c r="I44" i="1"/>
  <c r="I117" i="1"/>
  <c r="I115" i="1"/>
  <c r="I129" i="1"/>
  <c r="I119" i="1" l="1"/>
  <c r="I160" i="1"/>
  <c r="I43" i="1"/>
  <c r="I87" i="1" l="1"/>
  <c r="I113" i="1" l="1"/>
  <c r="I131" i="1"/>
  <c r="I146" i="1"/>
  <c r="I147" i="1" s="1"/>
  <c r="I85" i="1" l="1"/>
  <c r="I86" i="1" l="1"/>
  <c r="I97" i="1" s="1"/>
  <c r="I128" i="1"/>
  <c r="I132" i="1" s="1"/>
  <c r="I137" i="1" l="1"/>
  <c r="I141" i="1" s="1"/>
  <c r="I135" i="1"/>
  <c r="I136" i="1" s="1"/>
  <c r="I162" i="1" l="1"/>
</calcChain>
</file>

<file path=xl/sharedStrings.xml><?xml version="1.0" encoding="utf-8"?>
<sst xmlns="http://schemas.openxmlformats.org/spreadsheetml/2006/main" count="553" uniqueCount="234">
  <si>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</si>
  <si>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</si>
  <si>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</si>
  <si>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</si>
  <si>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</si>
  <si>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</si>
  <si>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</si>
  <si>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</si>
  <si>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</si>
  <si>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</si>
  <si>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</si>
  <si>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</si>
  <si>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</si>
  <si>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</si>
  <si>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</si>
  <si>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</si>
  <si>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</si>
  <si>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</si>
  <si>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</si>
  <si>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</si>
  <si>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</si>
  <si>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</si>
  <si>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</si>
  <si>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</si>
  <si>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</si>
  <si>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</si>
  <si>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</si>
  <si>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</si>
  <si>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</si>
  <si>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</si>
  <si>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</si>
  <si>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</si>
  <si>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</si>
  <si>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</si>
  <si>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</si>
  <si>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</si>
  <si>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</si>
  <si>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</si>
  <si>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</si>
  <si>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</si>
  <si>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</si>
  <si>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</si>
  <si>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</si>
  <si>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</si>
  <si>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</si>
  <si>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</si>
  <si>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</si>
  <si>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</si>
  <si>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</si>
  <si>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</si>
  <si>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</si>
  <si>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</si>
  <si>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</si>
  <si>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</si>
  <si>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</si>
  <si>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</si>
  <si>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</si>
  <si>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</si>
  <si>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</si>
  <si>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</si>
  <si>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</si>
  <si>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</si>
  <si>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</si>
  <si>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</si>
  <si>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</si>
  <si>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</si>
  <si>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</si>
  <si>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</si>
  <si>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</si>
  <si>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</si>
  <si>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</si>
  <si>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</si>
  <si>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</si>
  <si>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</si>
  <si>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</si>
  <si>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</si>
  <si>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</si>
  <si>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</si>
  <si>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</si>
  <si>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</si>
  <si>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</si>
  <si>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</si>
  <si>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</si>
  <si>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</si>
  <si>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</si>
  <si>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</si>
  <si>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</si>
  <si>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</si>
  <si>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</si>
  <si>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</si>
  <si>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</si>
  <si>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</si>
  <si>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</si>
  <si>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</si>
  <si>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</si>
  <si>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</si>
  <si>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</si>
  <si>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</si>
  <si>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</si>
  <si>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</si>
  <si>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</si>
  <si>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</si>
  <si>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</si>
  <si>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</si>
  <si>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</si>
  <si>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</si>
  <si>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</si>
  <si>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</si>
  <si>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</si>
  <si>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</si>
  <si>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</si>
  <si>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</si>
  <si>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</si>
  <si>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</si>
  <si>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</si>
  <si>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</si>
  <si>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</si>
  <si>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</si>
  <si>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</si>
  <si>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</si>
  <si>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</si>
  <si>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</si>
  <si>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</si>
  <si>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</si>
  <si>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</si>
  <si>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</si>
  <si>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</si>
  <si>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</si>
  <si>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</si>
  <si>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</si>
  <si>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</si>
  <si>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</si>
  <si>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</si>
  <si>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</si>
  <si>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</si>
  <si>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</si>
  <si>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</si>
  <si>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</si>
  <si>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</si>
  <si>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</si>
  <si>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</si>
  <si>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</si>
  <si>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</si>
  <si>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</si>
  <si>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</si>
  <si>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</si>
  <si>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</si>
  <si>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</si>
  <si>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</si>
  <si>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</si>
  <si>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1 врезка</t>
  </si>
  <si>
    <t>ремонт/частичная замена поврежденных участков при помощи альпинистов</t>
  </si>
  <si>
    <t>установка хомутов диаметром трубопроводов до 100мм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</si>
  <si>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</si>
  <si>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</si>
  <si>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</si>
  <si>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</si>
  <si>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</si>
  <si>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</si>
  <si>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</si>
  <si>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</si>
  <si>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ламп накаливания</t>
  </si>
  <si>
    <t xml:space="preserve"> смена кранов на шаровые краны диам.15,20мм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</si>
  <si>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</si>
  <si>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</si>
  <si>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ремонт межпанельных швов без вскрытия</t>
  </si>
  <si>
    <t xml:space="preserve"> смена кранов на шаровые краны диам.15,32мм</t>
  </si>
  <si>
    <t>смена вентилей и клапанов обратных муфтовых диам. до 25мм</t>
  </si>
  <si>
    <t>м2 окрашиваемой поверхности</t>
  </si>
  <si>
    <t>окраска водно-дисперсионными акриловыми составами улучшенная по штукатурке стен</t>
  </si>
  <si>
    <t>устройство металлических ограждений с поручнями из поливинилхлорида</t>
  </si>
  <si>
    <t>устройство металлических ограждений без поручня</t>
  </si>
  <si>
    <t>установка дверного доводчика</t>
  </si>
  <si>
    <t>установка контейнера ТКО-0,4м3</t>
  </si>
  <si>
    <t>1,2,квартал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</si>
  <si>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</si>
  <si>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</si>
  <si>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</si>
  <si>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</si>
  <si>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смена дверных приборов петли</t>
  </si>
  <si>
    <t>смена обделок из листовой стали</t>
  </si>
  <si>
    <t>м.п.</t>
  </si>
  <si>
    <t>валка деревьев в городских условиях</t>
  </si>
  <si>
    <t>м3 кряжей</t>
  </si>
  <si>
    <t>смена дверных приборов шпингалеты</t>
  </si>
  <si>
    <t>смена досок на скамейках до 3шт</t>
  </si>
  <si>
    <t>замена гибкой подводки кв 94</t>
  </si>
  <si>
    <t>замена газовых кранов в квартирах №170,55,178,94</t>
  </si>
  <si>
    <t>антикоррозионная окраска, устранение посторонних предметов на г/пр, ремонт креплений,окраска газовых труб</t>
  </si>
  <si>
    <t>демонтаж приемного клапана мусоропровода</t>
  </si>
  <si>
    <t>монтаж приемного клапана мусоропровода</t>
  </si>
  <si>
    <t xml:space="preserve"> смена кранов на шаровые краны диам.15мм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</si>
  <si>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</si>
  <si>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14  на 2024 г.
</t>
  </si>
  <si>
    <t>выполнение работ по герметизации межпанельных швов(со вскрытием-61м.п.;без вскрытия -29м.п)кв №61,162,179</t>
  </si>
  <si>
    <t>устройство бетонных покрытий толщиной 35 мм</t>
  </si>
  <si>
    <t>выполнение работ по герметизации межпанельных швов(со вскрытием-81м.п.;без вскрытия -104м.п)кв №37,69,144,237</t>
  </si>
  <si>
    <t>выполнение работ по ремонту межпанельных швов( со вскрытием -33м.п.,без вскрытия -30м.п.</t>
  </si>
  <si>
    <t>расчистка поверхностей шпателем,щетками от старых покрасок</t>
  </si>
  <si>
    <t>простая окраска масляными составами по дереву стен</t>
  </si>
  <si>
    <t>смена отдельных участков металлического ограждения газонов из труб диам. до 40мм</t>
  </si>
  <si>
    <t>установка рейки-добора</t>
  </si>
  <si>
    <t>ремонт металлических ограждений мелкий</t>
  </si>
  <si>
    <t>ремонт дверных коробок узких в каменных стенах со снятием полотен</t>
  </si>
  <si>
    <t>установка дверных полотен наружных кроме балконных</t>
  </si>
  <si>
    <t>ремонт и окраска дверей (восстановление фурнитуры и остекления)пружины</t>
  </si>
  <si>
    <t>установка дверных коробок:в каменных стенах</t>
  </si>
  <si>
    <t>ремонт дверных полотен со сменой брусков обвязки вертикальных с числом сопряжений 2</t>
  </si>
  <si>
    <t>ремонт дверных полотен со сменой брусков обвязки горизонтальных на 2 сопряжения нижних</t>
  </si>
  <si>
    <t>смена дверных приборов:ручки-скобы</t>
  </si>
  <si>
    <t>обивка дверей кровельной сталью взакрой</t>
  </si>
  <si>
    <t>установка шайб диаметром трубопроводов до 150мм</t>
  </si>
  <si>
    <t>простая масляная окраска ранее окрашенных дверей без подготовки а расчисткой старой краски до 10%</t>
  </si>
  <si>
    <t>установка раскладок из дерева</t>
  </si>
  <si>
    <t>смена стекол толщиной 4-6мм в деревянных переплетах на штапиках по замазке при площади стекол до 0,25м2</t>
  </si>
  <si>
    <t>смена стекол толщиной 4-6мм в деревянных переплетах на штапиках по замазке при площади стекол до 0,5м2</t>
  </si>
  <si>
    <t>смена стекол толщиной 4-6мм в деревянных переплетах на штапиках по замазке при площади стекол до 1,0м2</t>
  </si>
  <si>
    <t>демонтаж дверных коробок в каменных стенах с отбивкой штукатурки в откосах</t>
  </si>
  <si>
    <t xml:space="preserve">установка блоков в наружных и внутренних стенах </t>
  </si>
  <si>
    <t>ремонт и восстановление герметизации коробок окон и дверей монтажной пеной</t>
  </si>
  <si>
    <t>установка решеток на окна массой до 25кг</t>
  </si>
  <si>
    <t>смена рассеивателей</t>
  </si>
  <si>
    <t>зажим ответвительный</t>
  </si>
  <si>
    <t>ремонт мест просадок бетоном</t>
  </si>
  <si>
    <t>установка и крепление наличников</t>
  </si>
  <si>
    <t>выполнение работ по ремонту мягкой кровли 3 подъезда кв 107, 108, 5 подъезд квкв№177,178,179,180</t>
  </si>
  <si>
    <t xml:space="preserve">прокладка кабеля </t>
  </si>
  <si>
    <t>ремонт межпанельных швов со вскрытием и заменй утеплителя кв 15,19,27,28,32,91,232,54</t>
  </si>
  <si>
    <t>ремонт и восстановление уплотнения стыков прокладками ПРП в 1 ряд с стенах,оконных,дверных и балконных блоках</t>
  </si>
  <si>
    <t>окраска масляными составами ранее окрашенных больших металлических поверхностей(кроме крыш) за один раз</t>
  </si>
  <si>
    <t>ремонт штукатурки лестничных маршей и площадок</t>
  </si>
  <si>
    <t>выполнение работ по утеплению квартиры №37</t>
  </si>
  <si>
    <t>выполнение работы по отделке оконных откосов</t>
  </si>
  <si>
    <t>изготовление и установка окон ПВХ подъезд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</si>
</sst>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1" fillId="0" borderId="0" xfId="0" applyNumberFormat="1" applyFont="1"/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abSelected="1" topLeftCell="D160" zoomScale="91" zoomScaleNormal="91" workbookViewId="0">
      <selection activeCell="D164" sqref="D164:I16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5" t="s">
        <v>97</v>
      </c>
      <c r="J1" s="75"/>
    </row>
    <row r="2" spans="1:12" ht="70.5" customHeight="1" x14ac:dyDescent="0.25">
      <c r="A2" s="70" t="s">
        <v>193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76" t="s">
        <v>88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48" x14ac:dyDescent="0.3">
      <c r="A5" s="6" t="s">
        <v>0</v>
      </c>
      <c r="B5" s="5"/>
      <c r="C5" s="4"/>
      <c r="D5" s="15" t="s">
        <v>225</v>
      </c>
      <c r="E5" s="41"/>
      <c r="F5" s="41">
        <v>1</v>
      </c>
      <c r="G5" s="13" t="s">
        <v>143</v>
      </c>
      <c r="H5" s="41">
        <f>777725/1</f>
        <v>777725</v>
      </c>
      <c r="I5" s="60">
        <f>F5*H5</f>
        <v>777725</v>
      </c>
      <c r="J5" s="13" t="s">
        <v>123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1"/>
      <c r="F6" s="41">
        <f>60+62+102</f>
        <v>224</v>
      </c>
      <c r="G6" s="13" t="s">
        <v>113</v>
      </c>
      <c r="H6" s="45">
        <f>(2116.2+1095.4+2185.2+1133+3598.2+1863.2)/F6</f>
        <v>53.532142857142858</v>
      </c>
      <c r="I6" s="58">
        <f>F6*H6</f>
        <v>11991.2</v>
      </c>
      <c r="J6" s="13" t="s">
        <v>118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151</v>
      </c>
      <c r="E7" s="41" t="s">
        <v>140</v>
      </c>
      <c r="F7" s="41" t="s">
        <v>140</v>
      </c>
      <c r="G7" s="13" t="s">
        <v>30</v>
      </c>
      <c r="H7" s="41"/>
      <c r="I7" s="41" t="s">
        <v>140</v>
      </c>
      <c r="J7" s="13"/>
      <c r="K7" s="2"/>
      <c r="L7" s="2"/>
    </row>
    <row r="8" spans="1:12" ht="35.25" customHeight="1" x14ac:dyDescent="0.3">
      <c r="A8" s="6"/>
      <c r="B8" s="5"/>
      <c r="C8" s="4"/>
      <c r="D8" s="15" t="s">
        <v>180</v>
      </c>
      <c r="E8" s="41"/>
      <c r="F8" s="41">
        <f>2+23</f>
        <v>25</v>
      </c>
      <c r="G8" s="13" t="s">
        <v>113</v>
      </c>
      <c r="H8" s="41">
        <f>(1260+14926)/F8</f>
        <v>647.44000000000005</v>
      </c>
      <c r="I8" s="66">
        <f>F8*H8</f>
        <v>16186.000000000002</v>
      </c>
      <c r="J8" s="13" t="s">
        <v>123</v>
      </c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140</v>
      </c>
      <c r="F9" s="41" t="s">
        <v>140</v>
      </c>
      <c r="G9" s="13" t="s">
        <v>30</v>
      </c>
      <c r="H9" s="41"/>
      <c r="I9" s="41" t="s">
        <v>140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140</v>
      </c>
      <c r="F10" s="41" t="s">
        <v>140</v>
      </c>
      <c r="G10" s="13" t="s">
        <v>30</v>
      </c>
      <c r="H10" s="41"/>
      <c r="I10" s="41" t="s">
        <v>140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140</v>
      </c>
      <c r="F11" s="41" t="s">
        <v>140</v>
      </c>
      <c r="G11" s="13" t="s">
        <v>30</v>
      </c>
      <c r="H11" s="41"/>
      <c r="I11" s="41" t="s">
        <v>140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87</v>
      </c>
      <c r="E12" s="41" t="s">
        <v>140</v>
      </c>
      <c r="F12" s="41" t="s">
        <v>140</v>
      </c>
      <c r="G12" s="13" t="s">
        <v>31</v>
      </c>
      <c r="H12" s="41"/>
      <c r="I12" s="41" t="s">
        <v>140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140</v>
      </c>
      <c r="F13" s="41" t="s">
        <v>140</v>
      </c>
      <c r="G13" s="14" t="s">
        <v>31</v>
      </c>
      <c r="H13" s="41"/>
      <c r="I13" s="41" t="s">
        <v>140</v>
      </c>
      <c r="J13" s="13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1" t="s">
        <v>140</v>
      </c>
      <c r="F14" s="41" t="s">
        <v>140</v>
      </c>
      <c r="G14" s="13" t="s">
        <v>30</v>
      </c>
      <c r="H14" s="41"/>
      <c r="I14" s="41" t="s">
        <v>140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140</v>
      </c>
      <c r="F15" s="41" t="s">
        <v>140</v>
      </c>
      <c r="G15" s="13" t="s">
        <v>30</v>
      </c>
      <c r="H15" s="41"/>
      <c r="I15" s="41" t="s">
        <v>140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6"/>
      <c r="F16" s="46"/>
      <c r="G16" s="31"/>
      <c r="H16" s="41"/>
      <c r="I16" s="41">
        <f>SUM(I6:I15)</f>
        <v>28177.200000000004</v>
      </c>
      <c r="J16" s="13"/>
      <c r="K16" s="2"/>
      <c r="L16" s="2"/>
    </row>
    <row r="17" spans="1:12" ht="18.75" x14ac:dyDescent="0.3">
      <c r="A17" s="76" t="s">
        <v>57</v>
      </c>
      <c r="B17" s="77"/>
      <c r="C17" s="77"/>
      <c r="D17" s="77"/>
      <c r="E17" s="77"/>
      <c r="F17" s="77"/>
      <c r="G17" s="78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96</v>
      </c>
      <c r="E18" s="41" t="s">
        <v>140</v>
      </c>
      <c r="F18" s="41" t="s">
        <v>140</v>
      </c>
      <c r="G18" s="14" t="s">
        <v>55</v>
      </c>
      <c r="H18" s="41"/>
      <c r="I18" s="41" t="s">
        <v>140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 t="s">
        <v>140</v>
      </c>
      <c r="F19" s="41" t="s">
        <v>140</v>
      </c>
      <c r="G19" s="14" t="s">
        <v>54</v>
      </c>
      <c r="H19" s="41"/>
      <c r="I19" s="41" t="s">
        <v>140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 t="s">
        <v>140</v>
      </c>
      <c r="F20" s="41" t="s">
        <v>140</v>
      </c>
      <c r="G20" s="14" t="s">
        <v>54</v>
      </c>
      <c r="H20" s="41"/>
      <c r="I20" s="41" t="s">
        <v>140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/>
      <c r="F21" s="41"/>
      <c r="G21" s="14" t="s">
        <v>54</v>
      </c>
      <c r="H21" s="41"/>
      <c r="I21" s="45"/>
      <c r="J21" s="13"/>
      <c r="K21" s="2"/>
      <c r="L21" s="2"/>
    </row>
    <row r="22" spans="1:12" ht="18.75" x14ac:dyDescent="0.3">
      <c r="A22" s="6"/>
      <c r="B22" s="5"/>
      <c r="C22" s="4"/>
      <c r="D22" s="4" t="s">
        <v>223</v>
      </c>
      <c r="E22" s="41"/>
      <c r="F22" s="41">
        <f>5.16</f>
        <v>5.16</v>
      </c>
      <c r="G22" s="14" t="s">
        <v>113</v>
      </c>
      <c r="H22" s="45">
        <f>25046.2/F22</f>
        <v>4853.9147286821708</v>
      </c>
      <c r="I22" s="60">
        <f>F22*H22</f>
        <v>25046.2</v>
      </c>
      <c r="J22" s="13" t="s">
        <v>118</v>
      </c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 t="s">
        <v>140</v>
      </c>
      <c r="F23" s="41" t="s">
        <v>140</v>
      </c>
      <c r="G23" s="14" t="s">
        <v>54</v>
      </c>
      <c r="H23" s="41"/>
      <c r="I23" s="41" t="s">
        <v>140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144</v>
      </c>
      <c r="E24" s="41" t="s">
        <v>140</v>
      </c>
      <c r="F24" s="41" t="s">
        <v>140</v>
      </c>
      <c r="G24" s="14" t="s">
        <v>145</v>
      </c>
      <c r="H24" s="41"/>
      <c r="I24" s="41" t="s">
        <v>140</v>
      </c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140</v>
      </c>
      <c r="F25" s="41" t="s">
        <v>140</v>
      </c>
      <c r="G25" s="13" t="s">
        <v>30</v>
      </c>
      <c r="H25" s="41"/>
      <c r="I25" s="41" t="s">
        <v>140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 t="s">
        <v>140</v>
      </c>
      <c r="F26" s="41" t="s">
        <v>140</v>
      </c>
      <c r="G26" s="14" t="s">
        <v>54</v>
      </c>
      <c r="H26" s="41"/>
      <c r="I26" s="41" t="s">
        <v>140</v>
      </c>
      <c r="J26" s="13"/>
      <c r="K26" s="2"/>
      <c r="L26" s="2"/>
    </row>
    <row r="27" spans="1:12" ht="24.75" customHeight="1" x14ac:dyDescent="0.3">
      <c r="A27" s="6"/>
      <c r="B27" s="5"/>
      <c r="C27" s="4"/>
      <c r="D27" s="15" t="s">
        <v>195</v>
      </c>
      <c r="E27" s="41"/>
      <c r="F27" s="41">
        <f>3.5</f>
        <v>3.5</v>
      </c>
      <c r="G27" s="14" t="s">
        <v>113</v>
      </c>
      <c r="H27" s="45">
        <f>(3188+168.8)/F27</f>
        <v>959.08571428571429</v>
      </c>
      <c r="I27" s="58">
        <f>F27*H27</f>
        <v>3356.8</v>
      </c>
      <c r="J27" s="13" t="s">
        <v>123</v>
      </c>
      <c r="K27" s="2"/>
      <c r="L27" s="2"/>
    </row>
    <row r="28" spans="1:12" ht="18.75" x14ac:dyDescent="0.3">
      <c r="A28" s="6" t="s">
        <v>56</v>
      </c>
      <c r="B28" s="5"/>
      <c r="C28" s="4"/>
      <c r="D28" s="15" t="s">
        <v>165</v>
      </c>
      <c r="E28" s="41" t="s">
        <v>140</v>
      </c>
      <c r="F28" s="41" t="s">
        <v>140</v>
      </c>
      <c r="G28" s="14" t="s">
        <v>30</v>
      </c>
      <c r="H28" s="41"/>
      <c r="I28" s="41" t="s">
        <v>140</v>
      </c>
      <c r="J28" s="13"/>
      <c r="L28" s="2"/>
    </row>
    <row r="29" spans="1:12" ht="32.25" x14ac:dyDescent="0.3">
      <c r="A29" s="6"/>
      <c r="B29" s="5"/>
      <c r="C29" s="4"/>
      <c r="D29" s="15" t="s">
        <v>231</v>
      </c>
      <c r="E29" s="41" t="s">
        <v>140</v>
      </c>
      <c r="F29" s="41">
        <f>94.06</f>
        <v>94.06</v>
      </c>
      <c r="G29" s="14" t="s">
        <v>113</v>
      </c>
      <c r="H29" s="45">
        <f>366912/F29</f>
        <v>3900.8292579204763</v>
      </c>
      <c r="I29" s="58">
        <f>F29*H29</f>
        <v>366912</v>
      </c>
      <c r="J29" s="13" t="s">
        <v>121</v>
      </c>
      <c r="L29" s="2"/>
    </row>
    <row r="30" spans="1:12" ht="32.25" x14ac:dyDescent="0.3">
      <c r="A30" s="6"/>
      <c r="B30" s="5"/>
      <c r="C30" s="4"/>
      <c r="D30" s="15" t="s">
        <v>232</v>
      </c>
      <c r="E30" s="41"/>
      <c r="F30" s="41">
        <v>1</v>
      </c>
      <c r="G30" s="14" t="s">
        <v>143</v>
      </c>
      <c r="H30" s="45">
        <f>19234/1</f>
        <v>19234</v>
      </c>
      <c r="I30" s="58">
        <f>F30*H30</f>
        <v>19234</v>
      </c>
      <c r="J30" s="13" t="s">
        <v>121</v>
      </c>
      <c r="L30" s="2"/>
    </row>
    <row r="31" spans="1:12" ht="32.25" x14ac:dyDescent="0.3">
      <c r="A31" s="6" t="s">
        <v>58</v>
      </c>
      <c r="B31" s="5"/>
      <c r="C31" s="4"/>
      <c r="D31" s="15" t="s">
        <v>95</v>
      </c>
      <c r="E31" s="41" t="s">
        <v>140</v>
      </c>
      <c r="F31" s="41" t="s">
        <v>140</v>
      </c>
      <c r="G31" s="14" t="s">
        <v>54</v>
      </c>
      <c r="H31" s="41"/>
      <c r="I31" s="41" t="s">
        <v>140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94</v>
      </c>
      <c r="E32" s="41" t="s">
        <v>140</v>
      </c>
      <c r="F32" s="41" t="s">
        <v>140</v>
      </c>
      <c r="G32" s="14" t="s">
        <v>55</v>
      </c>
      <c r="H32" s="41"/>
      <c r="I32" s="41" t="s">
        <v>140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140</v>
      </c>
      <c r="F33" s="41" t="s">
        <v>140</v>
      </c>
      <c r="G33" s="14" t="s">
        <v>55</v>
      </c>
      <c r="H33" s="41"/>
      <c r="I33" s="41" t="s">
        <v>140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140</v>
      </c>
      <c r="F34" s="41" t="s">
        <v>140</v>
      </c>
      <c r="G34" s="14" t="s">
        <v>54</v>
      </c>
      <c r="H34" s="41"/>
      <c r="I34" s="41" t="s">
        <v>140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140</v>
      </c>
      <c r="F35" s="41" t="s">
        <v>140</v>
      </c>
      <c r="G35" s="13" t="s">
        <v>30</v>
      </c>
      <c r="H35" s="41"/>
      <c r="I35" s="41" t="s">
        <v>140</v>
      </c>
      <c r="J35" s="13"/>
      <c r="L35" s="2"/>
    </row>
    <row r="36" spans="1:12" ht="48" x14ac:dyDescent="0.3">
      <c r="A36" s="6"/>
      <c r="B36" s="5"/>
      <c r="C36" s="4"/>
      <c r="D36" s="15" t="s">
        <v>197</v>
      </c>
      <c r="E36" s="41"/>
      <c r="F36" s="41">
        <v>1</v>
      </c>
      <c r="G36" s="14" t="s">
        <v>143</v>
      </c>
      <c r="H36" s="41">
        <f>33723/F36</f>
        <v>33723</v>
      </c>
      <c r="I36" s="58">
        <f>F36*H36</f>
        <v>33723</v>
      </c>
      <c r="J36" s="13" t="s">
        <v>123</v>
      </c>
      <c r="L36" s="2"/>
    </row>
    <row r="37" spans="1:12" ht="32.25" x14ac:dyDescent="0.3">
      <c r="A37" s="6"/>
      <c r="B37" s="5"/>
      <c r="C37" s="4"/>
      <c r="D37" s="15" t="s">
        <v>227</v>
      </c>
      <c r="E37" s="41"/>
      <c r="F37" s="41">
        <f>1+1</f>
        <v>2</v>
      </c>
      <c r="G37" s="14" t="s">
        <v>143</v>
      </c>
      <c r="H37" s="45">
        <f>(35932+10000)/F37</f>
        <v>22966</v>
      </c>
      <c r="I37" s="58">
        <f>F37*H37</f>
        <v>45932</v>
      </c>
      <c r="J37" s="13" t="s">
        <v>123</v>
      </c>
      <c r="L37" s="2"/>
    </row>
    <row r="38" spans="1:12" ht="48" x14ac:dyDescent="0.3">
      <c r="A38" s="6"/>
      <c r="B38" s="5"/>
      <c r="C38" s="4"/>
      <c r="D38" s="15" t="s">
        <v>196</v>
      </c>
      <c r="E38" s="41"/>
      <c r="F38" s="41">
        <v>1</v>
      </c>
      <c r="G38" s="14" t="s">
        <v>143</v>
      </c>
      <c r="H38" s="45">
        <f>94495/F38</f>
        <v>94495</v>
      </c>
      <c r="I38" s="58">
        <f>F38*H38</f>
        <v>94495</v>
      </c>
      <c r="J38" s="13" t="s">
        <v>121</v>
      </c>
      <c r="L38" s="2"/>
    </row>
    <row r="39" spans="1:12" ht="48" x14ac:dyDescent="0.3">
      <c r="A39" s="6"/>
      <c r="B39" s="5"/>
      <c r="C39" s="4"/>
      <c r="D39" s="15" t="s">
        <v>194</v>
      </c>
      <c r="E39" s="41"/>
      <c r="F39" s="41">
        <v>1</v>
      </c>
      <c r="G39" s="14" t="s">
        <v>143</v>
      </c>
      <c r="H39" s="45">
        <f>52128/F39</f>
        <v>52128</v>
      </c>
      <c r="I39" s="58">
        <f>F39*H39</f>
        <v>52128</v>
      </c>
      <c r="J39" s="13" t="s">
        <v>121</v>
      </c>
      <c r="L39" s="2"/>
    </row>
    <row r="40" spans="1:12" ht="18.75" x14ac:dyDescent="0.3">
      <c r="A40" s="6" t="s">
        <v>18</v>
      </c>
      <c r="B40" s="5"/>
      <c r="C40" s="4"/>
      <c r="D40" s="4" t="s">
        <v>46</v>
      </c>
      <c r="E40" s="41" t="s">
        <v>140</v>
      </c>
      <c r="F40" s="41" t="s">
        <v>140</v>
      </c>
      <c r="G40" s="14" t="s">
        <v>55</v>
      </c>
      <c r="H40" s="41"/>
      <c r="I40" s="41" t="s">
        <v>140</v>
      </c>
      <c r="J40" s="13"/>
      <c r="L40" s="2"/>
    </row>
    <row r="41" spans="1:12" ht="18.75" x14ac:dyDescent="0.3">
      <c r="A41" s="28"/>
      <c r="B41" s="22"/>
      <c r="C41" s="22"/>
      <c r="D41" s="22"/>
      <c r="E41" s="46"/>
      <c r="F41" s="46"/>
      <c r="G41" s="12"/>
      <c r="H41" s="41"/>
      <c r="I41" s="45">
        <f>SUM(I36:I40)</f>
        <v>226278</v>
      </c>
      <c r="J41" s="13"/>
      <c r="L41" s="2"/>
    </row>
    <row r="42" spans="1:12" ht="24" customHeight="1" x14ac:dyDescent="0.3">
      <c r="A42" s="76" t="s">
        <v>86</v>
      </c>
      <c r="B42" s="77"/>
      <c r="C42" s="77"/>
      <c r="D42" s="77"/>
      <c r="E42" s="77"/>
      <c r="F42" s="77"/>
      <c r="G42" s="78"/>
      <c r="H42" s="14"/>
      <c r="I42" s="5"/>
      <c r="J42" s="13"/>
      <c r="L42" s="2"/>
    </row>
    <row r="43" spans="1:12" ht="32.25" customHeight="1" x14ac:dyDescent="0.3">
      <c r="A43" s="6" t="s">
        <v>50</v>
      </c>
      <c r="B43" s="5"/>
      <c r="C43" s="4"/>
      <c r="D43" s="15" t="s">
        <v>205</v>
      </c>
      <c r="E43" s="32"/>
      <c r="F43" s="13">
        <f>1+1</f>
        <v>2</v>
      </c>
      <c r="G43" s="38" t="s">
        <v>31</v>
      </c>
      <c r="H43" s="13">
        <f>(617.2+617.2)/F43</f>
        <v>617.20000000000005</v>
      </c>
      <c r="I43" s="59">
        <f t="shared" ref="I43:I49" si="0">F43*H43</f>
        <v>1234.4000000000001</v>
      </c>
      <c r="J43" s="13" t="s">
        <v>123</v>
      </c>
      <c r="L43" s="2"/>
    </row>
    <row r="44" spans="1:12" ht="32.25" customHeight="1" x14ac:dyDescent="0.3">
      <c r="A44" s="6"/>
      <c r="B44" s="5"/>
      <c r="C44" s="4"/>
      <c r="D44" s="15" t="s">
        <v>217</v>
      </c>
      <c r="E44" s="32"/>
      <c r="F44" s="31">
        <v>1</v>
      </c>
      <c r="G44" s="38" t="s">
        <v>31</v>
      </c>
      <c r="H44" s="31">
        <f>1757/F44</f>
        <v>1757</v>
      </c>
      <c r="I44" s="67">
        <f t="shared" si="0"/>
        <v>1757</v>
      </c>
      <c r="J44" s="13" t="s">
        <v>123</v>
      </c>
      <c r="L44" s="2"/>
    </row>
    <row r="45" spans="1:12" ht="32.25" customHeight="1" x14ac:dyDescent="0.3">
      <c r="A45" s="6"/>
      <c r="B45" s="5"/>
      <c r="C45" s="4"/>
      <c r="D45" s="15" t="s">
        <v>184</v>
      </c>
      <c r="E45" s="32"/>
      <c r="F45" s="31">
        <f>4+1+1+1</f>
        <v>7</v>
      </c>
      <c r="G45" s="38" t="s">
        <v>31</v>
      </c>
      <c r="H45" s="45">
        <f>(5907+1532.4+1532.4+1532.4)/F45</f>
        <v>1500.6</v>
      </c>
      <c r="I45" s="58">
        <f t="shared" si="0"/>
        <v>10504.199999999999</v>
      </c>
      <c r="J45" s="13" t="s">
        <v>118</v>
      </c>
      <c r="L45" s="2"/>
    </row>
    <row r="46" spans="1:12" ht="32.25" customHeight="1" x14ac:dyDescent="0.3">
      <c r="A46" s="6"/>
      <c r="B46" s="5"/>
      <c r="C46" s="4"/>
      <c r="D46" s="15" t="s">
        <v>201</v>
      </c>
      <c r="E46" s="32"/>
      <c r="F46" s="31">
        <f>4</f>
        <v>4</v>
      </c>
      <c r="G46" s="38" t="s">
        <v>31</v>
      </c>
      <c r="H46" s="45">
        <f>898/F46</f>
        <v>224.5</v>
      </c>
      <c r="I46" s="58">
        <f t="shared" si="0"/>
        <v>898</v>
      </c>
      <c r="J46" s="13" t="s">
        <v>121</v>
      </c>
      <c r="L46" s="2"/>
    </row>
    <row r="47" spans="1:12" ht="32.25" customHeight="1" x14ac:dyDescent="0.3">
      <c r="A47" s="6"/>
      <c r="B47" s="5"/>
      <c r="C47" s="4"/>
      <c r="D47" s="15" t="s">
        <v>203</v>
      </c>
      <c r="E47" s="41"/>
      <c r="F47" s="41">
        <f>1</f>
        <v>1</v>
      </c>
      <c r="G47" s="13" t="s">
        <v>31</v>
      </c>
      <c r="H47" s="45">
        <f>1076.4/F47</f>
        <v>1076.4000000000001</v>
      </c>
      <c r="I47" s="58">
        <f t="shared" si="0"/>
        <v>1076.4000000000001</v>
      </c>
      <c r="J47" s="13" t="s">
        <v>118</v>
      </c>
      <c r="L47" s="2"/>
    </row>
    <row r="48" spans="1:12" ht="32.25" customHeight="1" x14ac:dyDescent="0.3">
      <c r="A48" s="6"/>
      <c r="B48" s="5"/>
      <c r="C48" s="4"/>
      <c r="D48" s="15" t="s">
        <v>204</v>
      </c>
      <c r="E48" s="41"/>
      <c r="F48" s="41">
        <f>1+1+1</f>
        <v>3</v>
      </c>
      <c r="G48" s="13" t="s">
        <v>31</v>
      </c>
      <c r="H48" s="45">
        <f>(4235+2327+2327)/F48</f>
        <v>2963</v>
      </c>
      <c r="I48" s="58">
        <f>F48*H48</f>
        <v>8889</v>
      </c>
      <c r="J48" s="13"/>
      <c r="L48" s="2"/>
    </row>
    <row r="49" spans="1:12" ht="32.25" customHeight="1" x14ac:dyDescent="0.3">
      <c r="A49" s="6"/>
      <c r="B49" s="5"/>
      <c r="C49" s="4"/>
      <c r="D49" s="15" t="s">
        <v>172</v>
      </c>
      <c r="E49" s="41"/>
      <c r="F49" s="41">
        <f>1</f>
        <v>1</v>
      </c>
      <c r="G49" s="13" t="s">
        <v>31</v>
      </c>
      <c r="H49" s="41">
        <f>3504.8/F49</f>
        <v>3504.8</v>
      </c>
      <c r="I49" s="58">
        <f t="shared" si="0"/>
        <v>3504.8</v>
      </c>
      <c r="J49" s="13" t="s">
        <v>178</v>
      </c>
      <c r="L49" s="2"/>
    </row>
    <row r="50" spans="1:12" ht="32.25" customHeight="1" x14ac:dyDescent="0.3">
      <c r="A50" s="6"/>
      <c r="B50" s="5"/>
      <c r="C50" s="4"/>
      <c r="D50" s="15" t="s">
        <v>206</v>
      </c>
      <c r="E50" s="41"/>
      <c r="F50" s="41">
        <f>1.8</f>
        <v>1.8</v>
      </c>
      <c r="G50" s="13" t="s">
        <v>113</v>
      </c>
      <c r="H50" s="45">
        <f>1561/F50</f>
        <v>867.22222222222217</v>
      </c>
      <c r="I50" s="58">
        <f>F50*H50</f>
        <v>1561</v>
      </c>
      <c r="J50" s="13" t="s">
        <v>118</v>
      </c>
      <c r="L50" s="2"/>
    </row>
    <row r="51" spans="1:12" ht="32.25" customHeight="1" x14ac:dyDescent="0.3">
      <c r="A51" s="6"/>
      <c r="B51" s="5"/>
      <c r="C51" s="4"/>
      <c r="D51" s="15" t="s">
        <v>218</v>
      </c>
      <c r="E51" s="41"/>
      <c r="F51" s="41">
        <f>2</f>
        <v>2</v>
      </c>
      <c r="G51" s="13" t="s">
        <v>113</v>
      </c>
      <c r="H51" s="45">
        <f>6964/F51</f>
        <v>3482</v>
      </c>
      <c r="I51" s="58">
        <f>F51*H51</f>
        <v>6964</v>
      </c>
      <c r="J51" s="13" t="s">
        <v>118</v>
      </c>
      <c r="L51" s="2"/>
    </row>
    <row r="52" spans="1:12" ht="32.25" customHeight="1" x14ac:dyDescent="0.3">
      <c r="A52" s="6"/>
      <c r="B52" s="5"/>
      <c r="C52" s="4"/>
      <c r="D52" s="15" t="s">
        <v>219</v>
      </c>
      <c r="E52" s="41"/>
      <c r="F52" s="41">
        <f>45</f>
        <v>45</v>
      </c>
      <c r="G52" s="13" t="s">
        <v>113</v>
      </c>
      <c r="H52" s="45">
        <f>32392.2/F52</f>
        <v>719.82666666666671</v>
      </c>
      <c r="I52" s="58">
        <f>F52*H52</f>
        <v>32392.2</v>
      </c>
      <c r="J52" s="13" t="s">
        <v>118</v>
      </c>
      <c r="L52" s="2"/>
    </row>
    <row r="53" spans="1:12" ht="32.25" customHeight="1" x14ac:dyDescent="0.3">
      <c r="A53" s="6"/>
      <c r="B53" s="5"/>
      <c r="C53" s="4"/>
      <c r="D53" s="15" t="s">
        <v>207</v>
      </c>
      <c r="E53" s="41"/>
      <c r="F53" s="41">
        <f>2</f>
        <v>2</v>
      </c>
      <c r="G53" s="13" t="s">
        <v>31</v>
      </c>
      <c r="H53" s="41">
        <f>7235.6/F53</f>
        <v>3617.8</v>
      </c>
      <c r="I53" s="58">
        <f>F53*H53</f>
        <v>7235.6</v>
      </c>
      <c r="J53" s="13" t="s">
        <v>118</v>
      </c>
      <c r="L53" s="2"/>
    </row>
    <row r="54" spans="1:12" ht="32.25" customHeight="1" x14ac:dyDescent="0.3">
      <c r="A54" s="6"/>
      <c r="B54" s="5"/>
      <c r="C54" s="4"/>
      <c r="D54" s="15" t="s">
        <v>208</v>
      </c>
      <c r="E54" s="41"/>
      <c r="F54" s="41">
        <f>1</f>
        <v>1</v>
      </c>
      <c r="G54" s="13" t="s">
        <v>31</v>
      </c>
      <c r="H54" s="41">
        <f>3089/F54</f>
        <v>3089</v>
      </c>
      <c r="I54" s="58">
        <f>F54*H54</f>
        <v>3089</v>
      </c>
      <c r="J54" s="13" t="s">
        <v>118</v>
      </c>
      <c r="L54" s="2"/>
    </row>
    <row r="55" spans="1:12" ht="32.25" customHeight="1" x14ac:dyDescent="0.3">
      <c r="A55" s="6"/>
      <c r="B55" s="5"/>
      <c r="C55" s="4"/>
      <c r="D55" s="15" t="s">
        <v>209</v>
      </c>
      <c r="E55" s="41"/>
      <c r="F55" s="41">
        <f>1+3+1</f>
        <v>5</v>
      </c>
      <c r="G55" s="13" t="s">
        <v>31</v>
      </c>
      <c r="H55" s="41">
        <f>(392.2+1177.8+392)/F55</f>
        <v>392.4</v>
      </c>
      <c r="I55" s="58">
        <f t="shared" ref="I55:I57" si="1">F55*H55</f>
        <v>1962</v>
      </c>
      <c r="J55" s="13" t="s">
        <v>118</v>
      </c>
      <c r="L55" s="2"/>
    </row>
    <row r="56" spans="1:12" ht="32.25" customHeight="1" x14ac:dyDescent="0.3">
      <c r="A56" s="6"/>
      <c r="B56" s="5"/>
      <c r="C56" s="4"/>
      <c r="D56" s="15" t="s">
        <v>179</v>
      </c>
      <c r="E56" s="41"/>
      <c r="F56" s="41">
        <f>2+4</f>
        <v>6</v>
      </c>
      <c r="G56" s="13" t="s">
        <v>31</v>
      </c>
      <c r="H56" s="41">
        <f>(2128.6+4255)/F56</f>
        <v>1063.9333333333334</v>
      </c>
      <c r="I56" s="58">
        <f t="shared" si="1"/>
        <v>6383.6</v>
      </c>
      <c r="J56" s="13" t="s">
        <v>118</v>
      </c>
      <c r="L56" s="2"/>
    </row>
    <row r="57" spans="1:12" ht="32.25" customHeight="1" x14ac:dyDescent="0.3">
      <c r="A57" s="6"/>
      <c r="B57" s="5"/>
      <c r="C57" s="4"/>
      <c r="D57" s="15" t="s">
        <v>210</v>
      </c>
      <c r="E57" s="41"/>
      <c r="F57" s="41">
        <f>1.8+2.5</f>
        <v>4.3</v>
      </c>
      <c r="G57" s="13" t="s">
        <v>113</v>
      </c>
      <c r="H57" s="41">
        <f>(3072.6+4270)/F57</f>
        <v>1707.5813953488373</v>
      </c>
      <c r="I57" s="58">
        <f t="shared" si="1"/>
        <v>7342.6</v>
      </c>
      <c r="J57" s="13" t="s">
        <v>118</v>
      </c>
      <c r="L57" s="2"/>
    </row>
    <row r="58" spans="1:12" ht="47.25" customHeight="1" x14ac:dyDescent="0.3">
      <c r="A58" s="6"/>
      <c r="B58" s="5"/>
      <c r="C58" s="4"/>
      <c r="D58" s="15" t="s">
        <v>212</v>
      </c>
      <c r="E58" s="41"/>
      <c r="F58" s="41">
        <v>2</v>
      </c>
      <c r="G58" s="13" t="s">
        <v>113</v>
      </c>
      <c r="H58" s="41">
        <f>409.8/F58</f>
        <v>204.9</v>
      </c>
      <c r="I58" s="58">
        <f>F58*H58</f>
        <v>409.8</v>
      </c>
      <c r="J58" s="13" t="s">
        <v>118</v>
      </c>
      <c r="L58" s="2"/>
    </row>
    <row r="59" spans="1:12" ht="47.25" customHeight="1" x14ac:dyDescent="0.3">
      <c r="A59" s="6"/>
      <c r="B59" s="5"/>
      <c r="C59" s="4"/>
      <c r="D59" s="15" t="s">
        <v>224</v>
      </c>
      <c r="E59" s="41"/>
      <c r="F59" s="41">
        <v>5.5</v>
      </c>
      <c r="G59" s="13" t="s">
        <v>146</v>
      </c>
      <c r="H59" s="45">
        <f>781.4/F59</f>
        <v>142.07272727272726</v>
      </c>
      <c r="I59" s="58">
        <f>F59*H59</f>
        <v>781.4</v>
      </c>
      <c r="J59" s="13" t="s">
        <v>118</v>
      </c>
      <c r="L59" s="2"/>
    </row>
    <row r="60" spans="1:12" ht="47.25" customHeight="1" x14ac:dyDescent="0.3">
      <c r="A60" s="6"/>
      <c r="B60" s="5"/>
      <c r="C60" s="4"/>
      <c r="D60" s="15" t="s">
        <v>228</v>
      </c>
      <c r="E60" s="41" t="s">
        <v>140</v>
      </c>
      <c r="F60" s="41">
        <v>8</v>
      </c>
      <c r="G60" s="13" t="s">
        <v>146</v>
      </c>
      <c r="H60" s="45">
        <f>2168.4/F60</f>
        <v>271.05</v>
      </c>
      <c r="I60" s="66">
        <f>F60*H60</f>
        <v>2168.4</v>
      </c>
      <c r="J60" s="13" t="s">
        <v>121</v>
      </c>
      <c r="L60" s="2"/>
    </row>
    <row r="61" spans="1:12" ht="47.25" customHeight="1" x14ac:dyDescent="0.3">
      <c r="A61" s="6"/>
      <c r="B61" s="5"/>
      <c r="C61" s="4"/>
      <c r="D61" s="15" t="s">
        <v>229</v>
      </c>
      <c r="E61" s="41"/>
      <c r="F61" s="41">
        <f>4.8</f>
        <v>4.8</v>
      </c>
      <c r="G61" s="13" t="s">
        <v>113</v>
      </c>
      <c r="H61" s="45">
        <f>776/F61</f>
        <v>161.66666666666669</v>
      </c>
      <c r="I61" s="66">
        <f>F61*H61</f>
        <v>776.00000000000011</v>
      </c>
      <c r="J61" s="13" t="s">
        <v>121</v>
      </c>
      <c r="L61" s="2"/>
    </row>
    <row r="62" spans="1:12" ht="32.25" x14ac:dyDescent="0.3">
      <c r="A62" s="6" t="s">
        <v>51</v>
      </c>
      <c r="B62" s="5"/>
      <c r="C62" s="4"/>
      <c r="D62" s="15" t="s">
        <v>100</v>
      </c>
      <c r="E62" s="41"/>
      <c r="F62" s="41"/>
      <c r="G62" s="13" t="s">
        <v>55</v>
      </c>
      <c r="H62" s="41"/>
      <c r="I62" s="41" t="s">
        <v>140</v>
      </c>
      <c r="J62" s="13"/>
      <c r="L62" s="2"/>
    </row>
    <row r="63" spans="1:12" ht="32.25" x14ac:dyDescent="0.3">
      <c r="A63" s="6"/>
      <c r="B63" s="5"/>
      <c r="C63" s="4"/>
      <c r="D63" s="15" t="s">
        <v>233</v>
      </c>
      <c r="E63" s="41"/>
      <c r="F63" s="41">
        <v>8</v>
      </c>
      <c r="G63" s="13" t="s">
        <v>31</v>
      </c>
      <c r="H63" s="45">
        <f>352968/F63</f>
        <v>44121</v>
      </c>
      <c r="I63" s="58">
        <f t="shared" ref="I63:I65" si="2">F63*H63</f>
        <v>352968</v>
      </c>
      <c r="J63" s="13" t="s">
        <v>121</v>
      </c>
      <c r="L63" s="2"/>
    </row>
    <row r="64" spans="1:12" ht="18.75" x14ac:dyDescent="0.3">
      <c r="A64" s="6"/>
      <c r="B64" s="5"/>
      <c r="C64" s="4"/>
      <c r="D64" s="15" t="s">
        <v>213</v>
      </c>
      <c r="E64" s="41"/>
      <c r="F64" s="41">
        <f>26.4</f>
        <v>26.4</v>
      </c>
      <c r="G64" s="13" t="s">
        <v>181</v>
      </c>
      <c r="H64" s="45">
        <f>1596.6/F64</f>
        <v>60.477272727272727</v>
      </c>
      <c r="I64" s="60">
        <f t="shared" si="2"/>
        <v>1596.6</v>
      </c>
      <c r="J64" s="13" t="s">
        <v>121</v>
      </c>
      <c r="L64" s="2"/>
    </row>
    <row r="65" spans="1:12" ht="48" x14ac:dyDescent="0.3">
      <c r="A65" s="6"/>
      <c r="B65" s="5"/>
      <c r="C65" s="4"/>
      <c r="D65" s="15" t="s">
        <v>214</v>
      </c>
      <c r="E65" s="41"/>
      <c r="F65" s="41">
        <f>0.7</f>
        <v>0.7</v>
      </c>
      <c r="G65" s="13" t="s">
        <v>113</v>
      </c>
      <c r="H65" s="45">
        <f>2410.8/F65</f>
        <v>3444.0000000000005</v>
      </c>
      <c r="I65" s="60">
        <f t="shared" si="2"/>
        <v>2410.8000000000002</v>
      </c>
      <c r="J65" s="13" t="s">
        <v>118</v>
      </c>
      <c r="L65" s="2"/>
    </row>
    <row r="66" spans="1:12" ht="48" x14ac:dyDescent="0.3">
      <c r="A66" s="6"/>
      <c r="B66" s="5"/>
      <c r="C66" s="4"/>
      <c r="D66" s="15" t="s">
        <v>215</v>
      </c>
      <c r="E66" s="41"/>
      <c r="F66" s="41">
        <v>0.4</v>
      </c>
      <c r="G66" s="13" t="s">
        <v>113</v>
      </c>
      <c r="H66" s="45">
        <f>1093.8/F66</f>
        <v>2734.4999999999995</v>
      </c>
      <c r="I66" s="60">
        <f t="shared" ref="I66:I67" si="3">F66*H66</f>
        <v>1093.8</v>
      </c>
      <c r="J66" s="13" t="s">
        <v>118</v>
      </c>
      <c r="L66" s="2"/>
    </row>
    <row r="67" spans="1:12" ht="48" x14ac:dyDescent="0.3">
      <c r="A67" s="6"/>
      <c r="B67" s="5"/>
      <c r="C67" s="4"/>
      <c r="D67" s="15" t="s">
        <v>216</v>
      </c>
      <c r="E67" s="41"/>
      <c r="F67" s="41">
        <v>0.64</v>
      </c>
      <c r="G67" s="13" t="s">
        <v>113</v>
      </c>
      <c r="H67" s="45">
        <f>1483.2/F67</f>
        <v>2317.5</v>
      </c>
      <c r="I67" s="60">
        <f t="shared" si="3"/>
        <v>1483.2</v>
      </c>
      <c r="J67" s="13" t="s">
        <v>118</v>
      </c>
      <c r="L67" s="2"/>
    </row>
    <row r="68" spans="1:12" ht="18.75" x14ac:dyDescent="0.3">
      <c r="A68" s="6"/>
      <c r="B68" s="5"/>
      <c r="C68" s="4"/>
      <c r="D68" s="15" t="s">
        <v>220</v>
      </c>
      <c r="E68" s="41"/>
      <c r="F68" s="41">
        <f>25</f>
        <v>25</v>
      </c>
      <c r="G68" s="13" t="s">
        <v>145</v>
      </c>
      <c r="H68" s="41">
        <f>5935/F68</f>
        <v>237.4</v>
      </c>
      <c r="I68" s="58">
        <f>F68*H68</f>
        <v>5935</v>
      </c>
      <c r="J68" s="13" t="s">
        <v>118</v>
      </c>
      <c r="L68" s="2"/>
    </row>
    <row r="69" spans="1:12" ht="32.25" x14ac:dyDescent="0.3">
      <c r="A69" s="6" t="s">
        <v>60</v>
      </c>
      <c r="B69" s="8"/>
      <c r="C69" s="4"/>
      <c r="D69" s="15" t="s">
        <v>47</v>
      </c>
      <c r="E69" s="41" t="s">
        <v>140</v>
      </c>
      <c r="F69" s="41" t="s">
        <v>140</v>
      </c>
      <c r="G69" s="14" t="s">
        <v>54</v>
      </c>
      <c r="H69" s="41"/>
      <c r="I69" s="41" t="s">
        <v>140</v>
      </c>
      <c r="J69" s="13"/>
      <c r="L69" s="2"/>
    </row>
    <row r="70" spans="1:12" ht="63" x14ac:dyDescent="0.3">
      <c r="A70" s="6"/>
      <c r="B70" s="8"/>
      <c r="C70" s="4"/>
      <c r="D70" s="15" t="s">
        <v>169</v>
      </c>
      <c r="E70" s="41"/>
      <c r="F70" s="41"/>
      <c r="G70" s="41" t="s">
        <v>168</v>
      </c>
      <c r="H70" s="41"/>
      <c r="I70" s="45"/>
      <c r="J70" s="13"/>
      <c r="L70" s="2"/>
    </row>
    <row r="71" spans="1:12" ht="18.75" x14ac:dyDescent="0.3">
      <c r="A71" s="6" t="s">
        <v>62</v>
      </c>
      <c r="B71" s="5"/>
      <c r="C71" s="4"/>
      <c r="D71" s="15" t="s">
        <v>52</v>
      </c>
      <c r="E71" s="41"/>
      <c r="F71" s="41"/>
      <c r="G71" s="14" t="s">
        <v>54</v>
      </c>
      <c r="H71" s="41"/>
      <c r="I71" s="41"/>
      <c r="J71" s="13"/>
      <c r="L71" s="2"/>
    </row>
    <row r="72" spans="1:12" ht="32.25" x14ac:dyDescent="0.3">
      <c r="A72" s="6"/>
      <c r="B72" s="5"/>
      <c r="C72" s="4"/>
      <c r="D72" s="15" t="s">
        <v>230</v>
      </c>
      <c r="E72" s="41"/>
      <c r="F72" s="41">
        <f>6</f>
        <v>6</v>
      </c>
      <c r="G72" s="14" t="s">
        <v>113</v>
      </c>
      <c r="H72" s="45">
        <f>21937/F72</f>
        <v>3656.1666666666665</v>
      </c>
      <c r="I72" s="58">
        <f>F72*H72</f>
        <v>21937</v>
      </c>
      <c r="J72" s="13"/>
      <c r="L72" s="2"/>
    </row>
    <row r="73" spans="1:12" ht="32.25" x14ac:dyDescent="0.3">
      <c r="A73" s="6"/>
      <c r="B73" s="5"/>
      <c r="C73" s="4"/>
      <c r="D73" s="15" t="s">
        <v>170</v>
      </c>
      <c r="E73" s="41"/>
      <c r="F73" s="41">
        <f>31.5</f>
        <v>31.5</v>
      </c>
      <c r="G73" s="14" t="s">
        <v>146</v>
      </c>
      <c r="H73" s="45">
        <f>128814/F73</f>
        <v>4089.3333333333335</v>
      </c>
      <c r="I73" s="66">
        <f>F73*H73</f>
        <v>128814</v>
      </c>
      <c r="J73" s="13"/>
      <c r="L73" s="2"/>
    </row>
    <row r="74" spans="1:12" ht="32.25" x14ac:dyDescent="0.3">
      <c r="A74" s="6"/>
      <c r="B74" s="5"/>
      <c r="C74" s="4"/>
      <c r="D74" s="15" t="s">
        <v>171</v>
      </c>
      <c r="E74" s="41"/>
      <c r="F74" s="41">
        <f>31.5</f>
        <v>31.5</v>
      </c>
      <c r="G74" s="14" t="s">
        <v>146</v>
      </c>
      <c r="H74" s="45">
        <f>-118037.2/F74</f>
        <v>-3747.2126984126985</v>
      </c>
      <c r="I74" s="66">
        <f>F74*H74</f>
        <v>-118037.2</v>
      </c>
      <c r="J74" s="13"/>
      <c r="L74" s="2"/>
    </row>
    <row r="75" spans="1:12" ht="18.75" x14ac:dyDescent="0.3">
      <c r="A75" s="6"/>
      <c r="B75" s="5"/>
      <c r="C75" s="4"/>
      <c r="D75" s="15" t="s">
        <v>202</v>
      </c>
      <c r="E75" s="41"/>
      <c r="F75" s="41">
        <f>6</f>
        <v>6</v>
      </c>
      <c r="G75" s="14" t="s">
        <v>113</v>
      </c>
      <c r="H75" s="41">
        <f>12969/F75</f>
        <v>2161.5</v>
      </c>
      <c r="I75" s="66">
        <f>F75*H75</f>
        <v>12969</v>
      </c>
      <c r="J75" s="13"/>
      <c r="L75" s="2"/>
    </row>
    <row r="76" spans="1:12" ht="32.25" x14ac:dyDescent="0.3">
      <c r="A76" s="6" t="s">
        <v>63</v>
      </c>
      <c r="B76" s="5"/>
      <c r="C76" s="4"/>
      <c r="D76" s="15" t="s">
        <v>65</v>
      </c>
      <c r="E76" s="41" t="s">
        <v>140</v>
      </c>
      <c r="F76" s="41" t="s">
        <v>140</v>
      </c>
      <c r="G76" s="13" t="s">
        <v>30</v>
      </c>
      <c r="H76" s="41"/>
      <c r="I76" s="41" t="s">
        <v>140</v>
      </c>
      <c r="J76" s="13"/>
      <c r="L76" s="2"/>
    </row>
    <row r="77" spans="1:12" ht="18.75" x14ac:dyDescent="0.3">
      <c r="A77" s="6"/>
      <c r="B77" s="5"/>
      <c r="C77" s="4"/>
      <c r="D77" s="15" t="s">
        <v>189</v>
      </c>
      <c r="E77" s="41"/>
      <c r="F77" s="41">
        <f>2+1</f>
        <v>3</v>
      </c>
      <c r="G77" s="13" t="s">
        <v>31</v>
      </c>
      <c r="H77" s="41">
        <f>(1400.2+732.2)/F77</f>
        <v>710.80000000000007</v>
      </c>
      <c r="I77" s="58">
        <f>F77*H77</f>
        <v>2132.4</v>
      </c>
      <c r="J77" s="13"/>
      <c r="L77" s="2"/>
    </row>
    <row r="78" spans="1:12" ht="18.75" x14ac:dyDescent="0.3">
      <c r="A78" s="6"/>
      <c r="B78" s="5"/>
      <c r="C78" s="4"/>
      <c r="D78" s="15" t="s">
        <v>190</v>
      </c>
      <c r="E78" s="41"/>
      <c r="F78" s="41">
        <f>2+1</f>
        <v>3</v>
      </c>
      <c r="G78" s="13" t="s">
        <v>31</v>
      </c>
      <c r="H78" s="45">
        <f>(10721+5406.6)/F78</f>
        <v>5375.8666666666668</v>
      </c>
      <c r="I78" s="58">
        <f>F78*H78</f>
        <v>16127.6</v>
      </c>
      <c r="J78" s="13"/>
      <c r="L78" s="2"/>
    </row>
    <row r="79" spans="1:12" ht="18.75" x14ac:dyDescent="0.3">
      <c r="A79" s="6" t="s">
        <v>59</v>
      </c>
      <c r="B79" s="8"/>
      <c r="C79" s="4"/>
      <c r="D79" s="4" t="s">
        <v>48</v>
      </c>
      <c r="E79" s="41" t="s">
        <v>140</v>
      </c>
      <c r="F79" s="41" t="s">
        <v>140</v>
      </c>
      <c r="G79" s="14" t="s">
        <v>54</v>
      </c>
      <c r="H79" s="41"/>
      <c r="I79" s="41" t="s">
        <v>140</v>
      </c>
      <c r="J79" s="13"/>
      <c r="L79" s="2"/>
    </row>
    <row r="80" spans="1:12" ht="24" customHeight="1" x14ac:dyDescent="0.3">
      <c r="A80" s="6" t="s">
        <v>61</v>
      </c>
      <c r="B80" s="8"/>
      <c r="C80" s="4"/>
      <c r="D80" s="4" t="s">
        <v>49</v>
      </c>
      <c r="E80" s="41" t="s">
        <v>140</v>
      </c>
      <c r="F80" s="41" t="s">
        <v>140</v>
      </c>
      <c r="G80" s="14" t="s">
        <v>54</v>
      </c>
      <c r="H80" s="41"/>
      <c r="I80" s="41" t="s">
        <v>140</v>
      </c>
      <c r="J80" s="13"/>
      <c r="L80" s="2"/>
    </row>
    <row r="81" spans="1:12" ht="18.75" x14ac:dyDescent="0.3">
      <c r="A81" s="6" t="s">
        <v>66</v>
      </c>
      <c r="B81" s="5"/>
      <c r="C81" s="4"/>
      <c r="D81" s="4" t="s">
        <v>93</v>
      </c>
      <c r="E81" s="41" t="s">
        <v>140</v>
      </c>
      <c r="F81" s="41" t="s">
        <v>140</v>
      </c>
      <c r="G81" s="14" t="s">
        <v>55</v>
      </c>
      <c r="H81" s="41"/>
      <c r="I81" s="41" t="s">
        <v>140</v>
      </c>
      <c r="J81" s="13"/>
      <c r="L81" s="2"/>
    </row>
    <row r="82" spans="1:12" ht="18.75" x14ac:dyDescent="0.3">
      <c r="A82" s="28"/>
      <c r="B82" s="22"/>
      <c r="C82" s="22"/>
      <c r="D82" s="22"/>
      <c r="E82" s="46"/>
      <c r="F82" s="46"/>
      <c r="G82" s="12"/>
      <c r="H82" s="41"/>
      <c r="I82" s="45">
        <f>SUM(I77:I81)</f>
        <v>18260</v>
      </c>
      <c r="J82" s="13"/>
      <c r="L82" s="2"/>
    </row>
    <row r="83" spans="1:12" ht="18.75" x14ac:dyDescent="0.3">
      <c r="A83" s="76" t="s">
        <v>68</v>
      </c>
      <c r="B83" s="77"/>
      <c r="C83" s="77"/>
      <c r="D83" s="77"/>
      <c r="E83" s="77"/>
      <c r="F83" s="77"/>
      <c r="G83" s="78"/>
      <c r="H83" s="18"/>
      <c r="I83" s="5"/>
      <c r="J83" s="13"/>
      <c r="L83" s="2"/>
    </row>
    <row r="84" spans="1:12" ht="37.5" x14ac:dyDescent="0.25">
      <c r="A84" s="9" t="s">
        <v>29</v>
      </c>
      <c r="B84" s="8"/>
      <c r="C84" s="4"/>
      <c r="D84" s="15" t="s">
        <v>142</v>
      </c>
      <c r="E84" s="41" t="s">
        <v>140</v>
      </c>
      <c r="F84" s="41" t="s">
        <v>140</v>
      </c>
      <c r="G84" s="13" t="s">
        <v>55</v>
      </c>
      <c r="H84" s="41"/>
      <c r="I84" s="41" t="s">
        <v>140</v>
      </c>
      <c r="J84" s="13"/>
      <c r="L84" s="2"/>
    </row>
    <row r="85" spans="1:12" ht="46.5" customHeight="1" x14ac:dyDescent="0.25">
      <c r="A85" s="9" t="s">
        <v>92</v>
      </c>
      <c r="B85" s="8"/>
      <c r="C85" s="4"/>
      <c r="D85" s="42" t="s">
        <v>126</v>
      </c>
      <c r="E85" s="32"/>
      <c r="F85" s="13">
        <v>13589</v>
      </c>
      <c r="G85" s="13" t="s">
        <v>113</v>
      </c>
      <c r="H85" s="33">
        <f>(63611.4+63611.4+63611.4+64007.4+64007.4+64007.4+66498+66498.44+66498.4+67355+67355+67355)/F85</f>
        <v>57.724353521230405</v>
      </c>
      <c r="I85" s="33">
        <f t="shared" ref="I85:I86" si="4">F85*H85</f>
        <v>784416.24</v>
      </c>
      <c r="J85" s="13" t="s">
        <v>116</v>
      </c>
      <c r="L85" s="2"/>
    </row>
    <row r="86" spans="1:12" ht="46.5" customHeight="1" x14ac:dyDescent="0.25">
      <c r="A86" s="9"/>
      <c r="B86" s="8"/>
      <c r="C86" s="4"/>
      <c r="D86" s="15" t="s">
        <v>112</v>
      </c>
      <c r="E86" s="32"/>
      <c r="F86" s="13">
        <f>5740</f>
        <v>5740</v>
      </c>
      <c r="G86" s="13" t="s">
        <v>30</v>
      </c>
      <c r="H86" s="33">
        <f>524397.4/F86</f>
        <v>91.358432055749134</v>
      </c>
      <c r="I86" s="33">
        <f t="shared" si="4"/>
        <v>524397.4</v>
      </c>
      <c r="J86" s="13" t="s">
        <v>118</v>
      </c>
      <c r="L86" s="2"/>
    </row>
    <row r="87" spans="1:12" ht="46.5" customHeight="1" x14ac:dyDescent="0.25">
      <c r="A87" s="9"/>
      <c r="B87" s="8"/>
      <c r="C87" s="4"/>
      <c r="D87" s="15" t="s">
        <v>152</v>
      </c>
      <c r="E87" s="41"/>
      <c r="F87" s="41">
        <f>4+2+8</f>
        <v>14</v>
      </c>
      <c r="G87" s="13" t="s">
        <v>31</v>
      </c>
      <c r="H87" s="45">
        <f>(5817.6+3049.2+12266.2)/F87</f>
        <v>1509.5</v>
      </c>
      <c r="I87" s="41">
        <f t="shared" ref="I87" si="5">F87*H87</f>
        <v>21133</v>
      </c>
      <c r="J87" s="13" t="s">
        <v>116</v>
      </c>
      <c r="L87" s="2"/>
    </row>
    <row r="88" spans="1:12" ht="46.5" customHeight="1" x14ac:dyDescent="0.25">
      <c r="A88" s="9"/>
      <c r="B88" s="8"/>
      <c r="C88" s="4"/>
      <c r="D88" s="15" t="s">
        <v>163</v>
      </c>
      <c r="E88" s="41" t="s">
        <v>140</v>
      </c>
      <c r="F88" s="41" t="s">
        <v>140</v>
      </c>
      <c r="G88" s="13" t="s">
        <v>30</v>
      </c>
      <c r="H88" s="41"/>
      <c r="I88" s="41" t="s">
        <v>140</v>
      </c>
      <c r="J88" s="13"/>
      <c r="L88" s="2"/>
    </row>
    <row r="89" spans="1:12" ht="46.5" customHeight="1" x14ac:dyDescent="0.25">
      <c r="A89" s="9"/>
      <c r="B89" s="8"/>
      <c r="C89" s="4"/>
      <c r="D89" s="15" t="s">
        <v>164</v>
      </c>
      <c r="E89" s="41" t="s">
        <v>140</v>
      </c>
      <c r="F89" s="41" t="s">
        <v>140</v>
      </c>
      <c r="G89" s="13" t="s">
        <v>30</v>
      </c>
      <c r="H89" s="41"/>
      <c r="I89" s="41" t="s">
        <v>140</v>
      </c>
      <c r="J89" s="13"/>
      <c r="L89" s="2"/>
    </row>
    <row r="90" spans="1:12" ht="46.5" customHeight="1" x14ac:dyDescent="0.25">
      <c r="A90" s="9"/>
      <c r="B90" s="8"/>
      <c r="C90" s="4"/>
      <c r="D90" s="15" t="s">
        <v>156</v>
      </c>
      <c r="E90" s="41" t="s">
        <v>140</v>
      </c>
      <c r="F90" s="41">
        <f>1</f>
        <v>1</v>
      </c>
      <c r="G90" s="13" t="s">
        <v>150</v>
      </c>
      <c r="H90" s="41">
        <f>7257.4/F90</f>
        <v>7257.4</v>
      </c>
      <c r="I90" s="58">
        <f>F90*H90</f>
        <v>7257.4</v>
      </c>
      <c r="J90" s="13" t="s">
        <v>118</v>
      </c>
      <c r="L90" s="2"/>
    </row>
    <row r="91" spans="1:12" ht="31.5" x14ac:dyDescent="0.25">
      <c r="A91" s="9" t="s">
        <v>84</v>
      </c>
      <c r="B91" s="8"/>
      <c r="C91" s="4"/>
      <c r="D91" s="15" t="s">
        <v>167</v>
      </c>
      <c r="E91" s="41"/>
      <c r="F91" s="41"/>
      <c r="G91" s="13" t="s">
        <v>55</v>
      </c>
      <c r="H91" s="41"/>
      <c r="I91" s="41"/>
      <c r="J91" s="13"/>
      <c r="L91" s="2"/>
    </row>
    <row r="92" spans="1:12" ht="18.75" x14ac:dyDescent="0.25">
      <c r="A92" s="9"/>
      <c r="B92" s="8"/>
      <c r="C92" s="4"/>
      <c r="D92" s="15" t="s">
        <v>162</v>
      </c>
      <c r="E92" s="41"/>
      <c r="F92" s="41">
        <f>1+8</f>
        <v>9</v>
      </c>
      <c r="G92" s="13" t="s">
        <v>31</v>
      </c>
      <c r="H92" s="45">
        <f>(1225.2+11836.6)/F92</f>
        <v>1451.3111111111111</v>
      </c>
      <c r="I92" s="58">
        <f>F92*H92</f>
        <v>13061.8</v>
      </c>
      <c r="J92" s="13" t="s">
        <v>123</v>
      </c>
      <c r="L92" s="2"/>
    </row>
    <row r="93" spans="1:12" ht="31.5" x14ac:dyDescent="0.25">
      <c r="A93" s="9"/>
      <c r="B93" s="8"/>
      <c r="C93" s="4"/>
      <c r="D93" s="15" t="s">
        <v>211</v>
      </c>
      <c r="E93" s="41"/>
      <c r="F93" s="41">
        <f>1+1</f>
        <v>2</v>
      </c>
      <c r="G93" s="13" t="s">
        <v>55</v>
      </c>
      <c r="H93" s="41">
        <f>4130.6/F93</f>
        <v>2065.3000000000002</v>
      </c>
      <c r="I93" s="58">
        <f>F93*H93</f>
        <v>4130.6000000000004</v>
      </c>
      <c r="J93" s="13" t="s">
        <v>118</v>
      </c>
      <c r="L93" s="2"/>
    </row>
    <row r="94" spans="1:12" ht="18.75" x14ac:dyDescent="0.25">
      <c r="A94" s="9"/>
      <c r="B94" s="8"/>
      <c r="C94" s="4"/>
      <c r="D94" s="15" t="s">
        <v>153</v>
      </c>
      <c r="E94" s="41" t="s">
        <v>140</v>
      </c>
      <c r="F94" s="41" t="s">
        <v>140</v>
      </c>
      <c r="G94" s="13" t="s">
        <v>154</v>
      </c>
      <c r="H94" s="41"/>
      <c r="I94" s="41" t="s">
        <v>140</v>
      </c>
      <c r="J94" s="13"/>
      <c r="L94" s="2"/>
    </row>
    <row r="95" spans="1:12" ht="18.75" x14ac:dyDescent="0.25">
      <c r="A95" s="9" t="s">
        <v>20</v>
      </c>
      <c r="B95" s="8"/>
      <c r="C95" s="4"/>
      <c r="D95" s="15" t="s">
        <v>69</v>
      </c>
      <c r="E95" s="41" t="s">
        <v>140</v>
      </c>
      <c r="F95" s="41" t="s">
        <v>140</v>
      </c>
      <c r="G95" s="13" t="s">
        <v>30</v>
      </c>
      <c r="H95" s="41"/>
      <c r="I95" s="41" t="s">
        <v>140</v>
      </c>
      <c r="J95" s="13"/>
      <c r="L95" s="2"/>
    </row>
    <row r="96" spans="1:12" ht="31.5" x14ac:dyDescent="0.25">
      <c r="A96" s="9" t="s">
        <v>21</v>
      </c>
      <c r="B96" s="8"/>
      <c r="C96" s="4"/>
      <c r="D96" s="15" t="s">
        <v>71</v>
      </c>
      <c r="E96" s="41" t="s">
        <v>140</v>
      </c>
      <c r="F96" s="41" t="s">
        <v>140</v>
      </c>
      <c r="G96" s="13" t="s">
        <v>55</v>
      </c>
      <c r="H96" s="41"/>
      <c r="I96" s="41" t="s">
        <v>140</v>
      </c>
      <c r="J96" s="13"/>
      <c r="L96" s="2"/>
    </row>
    <row r="97" spans="1:12" ht="18.75" x14ac:dyDescent="0.25">
      <c r="A97" s="47"/>
      <c r="B97" s="48"/>
      <c r="C97" s="22"/>
      <c r="D97" s="30"/>
      <c r="E97" s="46"/>
      <c r="F97" s="46"/>
      <c r="G97" s="31"/>
      <c r="H97" s="41"/>
      <c r="I97" s="45">
        <f>SUM(I85:I96)</f>
        <v>1354396.4400000002</v>
      </c>
      <c r="J97" s="13"/>
      <c r="L97" s="2"/>
    </row>
    <row r="98" spans="1:12" ht="18.75" x14ac:dyDescent="0.3">
      <c r="A98" s="72" t="s">
        <v>72</v>
      </c>
      <c r="B98" s="73"/>
      <c r="C98" s="73"/>
      <c r="D98" s="73"/>
      <c r="E98" s="73"/>
      <c r="F98" s="73"/>
      <c r="G98" s="74"/>
      <c r="H98" s="19"/>
      <c r="I98" s="5"/>
      <c r="J98" s="13"/>
      <c r="L98" s="2"/>
    </row>
    <row r="99" spans="1:12" ht="37.5" x14ac:dyDescent="0.25">
      <c r="A99" s="9" t="s">
        <v>92</v>
      </c>
      <c r="B99" s="8"/>
      <c r="C99" s="4"/>
      <c r="D99" s="4" t="s">
        <v>129</v>
      </c>
      <c r="E99" s="31"/>
      <c r="F99" s="13">
        <f>6+8+6+6+12+6+12+12+19+12+2</f>
        <v>101</v>
      </c>
      <c r="G99" s="13" t="s">
        <v>115</v>
      </c>
      <c r="H99" s="33">
        <f>(4212.2+5618+4212.2+4238.8+8479.6+4405.2+8806.4+8806.4+13946.6+8921.8+1486.6)/F99/3</f>
        <v>241.36567656765678</v>
      </c>
      <c r="I99" s="33">
        <f>F99*H99</f>
        <v>24377.933333333334</v>
      </c>
      <c r="J99" s="13" t="s">
        <v>116</v>
      </c>
      <c r="L99" s="2"/>
    </row>
    <row r="100" spans="1:12" ht="31.5" x14ac:dyDescent="0.25">
      <c r="A100" s="9"/>
      <c r="B100" s="8"/>
      <c r="C100" s="4"/>
      <c r="D100" s="15" t="s">
        <v>152</v>
      </c>
      <c r="E100" s="41"/>
      <c r="F100" s="41">
        <f>3+4+4+9</f>
        <v>20</v>
      </c>
      <c r="G100" s="13" t="s">
        <v>31</v>
      </c>
      <c r="H100" s="45">
        <f>(4300.2+5736+5817.6+13717.6)/F100</f>
        <v>1478.5700000000002</v>
      </c>
      <c r="I100" s="41">
        <f t="shared" ref="I100" si="6">F100*H100</f>
        <v>29571.4</v>
      </c>
      <c r="J100" s="13" t="s">
        <v>116</v>
      </c>
      <c r="L100" s="2"/>
    </row>
    <row r="101" spans="1:12" ht="18.75" x14ac:dyDescent="0.25">
      <c r="A101" s="9" t="s">
        <v>84</v>
      </c>
      <c r="B101" s="8"/>
      <c r="C101" s="4"/>
      <c r="D101" s="15" t="s">
        <v>70</v>
      </c>
      <c r="E101" s="41" t="s">
        <v>140</v>
      </c>
      <c r="F101" s="41" t="s">
        <v>140</v>
      </c>
      <c r="G101" s="13" t="s">
        <v>55</v>
      </c>
      <c r="H101" s="41"/>
      <c r="I101" s="41" t="s">
        <v>140</v>
      </c>
      <c r="J101" s="13"/>
      <c r="L101" s="2"/>
    </row>
    <row r="102" spans="1:12" ht="18.75" x14ac:dyDescent="0.25">
      <c r="A102" s="9"/>
      <c r="B102" s="8"/>
      <c r="C102" s="4"/>
      <c r="D102" s="15" t="s">
        <v>191</v>
      </c>
      <c r="E102" s="41"/>
      <c r="F102" s="41">
        <f>1</f>
        <v>1</v>
      </c>
      <c r="G102" s="13" t="s">
        <v>31</v>
      </c>
      <c r="H102" s="41">
        <f>1210/F102</f>
        <v>1210</v>
      </c>
      <c r="I102" s="58">
        <f t="shared" ref="I102" si="7">F102*H102</f>
        <v>1210</v>
      </c>
      <c r="J102" s="13" t="s">
        <v>121</v>
      </c>
      <c r="L102" s="2"/>
    </row>
    <row r="103" spans="1:12" ht="31.5" x14ac:dyDescent="0.25">
      <c r="A103" s="9" t="s">
        <v>21</v>
      </c>
      <c r="B103" s="8"/>
      <c r="C103" s="4"/>
      <c r="D103" s="15" t="s">
        <v>71</v>
      </c>
      <c r="E103" s="41" t="s">
        <v>140</v>
      </c>
      <c r="F103" s="41"/>
      <c r="G103" s="13" t="s">
        <v>143</v>
      </c>
      <c r="H103" s="41"/>
      <c r="I103" s="58"/>
      <c r="J103" s="13"/>
      <c r="L103" s="2"/>
    </row>
    <row r="104" spans="1:12" ht="18.75" x14ac:dyDescent="0.25">
      <c r="A104" s="47"/>
      <c r="B104" s="48"/>
      <c r="C104" s="22"/>
      <c r="D104" s="30"/>
      <c r="E104" s="46"/>
      <c r="F104" s="46"/>
      <c r="G104" s="31"/>
      <c r="H104" s="41"/>
      <c r="I104" s="45">
        <f>SUM(I99:I103)</f>
        <v>55159.333333333336</v>
      </c>
      <c r="J104" s="13"/>
      <c r="L104" s="2"/>
    </row>
    <row r="105" spans="1:12" ht="18.75" x14ac:dyDescent="0.3">
      <c r="A105" s="72" t="s">
        <v>73</v>
      </c>
      <c r="B105" s="73"/>
      <c r="C105" s="73"/>
      <c r="D105" s="73"/>
      <c r="E105" s="73"/>
      <c r="F105" s="73"/>
      <c r="G105" s="74"/>
      <c r="H105" s="13"/>
      <c r="I105" s="5"/>
      <c r="J105" s="13"/>
      <c r="L105" s="2"/>
    </row>
    <row r="106" spans="1:12" ht="37.5" x14ac:dyDescent="0.25">
      <c r="A106" s="9" t="s">
        <v>92</v>
      </c>
      <c r="B106" s="8"/>
      <c r="C106" s="4"/>
      <c r="D106" s="4" t="s">
        <v>130</v>
      </c>
      <c r="E106" s="31"/>
      <c r="F106" s="13">
        <f>6+8+6+6+12+6+12+12+19+12+2</f>
        <v>101</v>
      </c>
      <c r="G106" s="13" t="s">
        <v>115</v>
      </c>
      <c r="H106" s="33">
        <f>(4212.2+5618+4212.2+4238.8+8479.6+4405.2+8806.4+8806.4+13946.6+8921.8+1486.6)/F106/3</f>
        <v>241.36567656765678</v>
      </c>
      <c r="I106" s="33">
        <f>F106*H106</f>
        <v>24377.933333333334</v>
      </c>
      <c r="J106" s="13" t="s">
        <v>116</v>
      </c>
      <c r="L106" s="2"/>
    </row>
    <row r="107" spans="1:12" ht="31.5" x14ac:dyDescent="0.25">
      <c r="A107" s="9"/>
      <c r="B107" s="8"/>
      <c r="C107" s="4"/>
      <c r="D107" s="15" t="s">
        <v>158</v>
      </c>
      <c r="E107" s="31"/>
      <c r="F107" s="31">
        <f>8</f>
        <v>8</v>
      </c>
      <c r="G107" s="13" t="s">
        <v>30</v>
      </c>
      <c r="H107" s="31">
        <f>2721.6/F107</f>
        <v>340.2</v>
      </c>
      <c r="I107" s="67">
        <f>F107*H107</f>
        <v>2721.6</v>
      </c>
      <c r="J107" s="13" t="s">
        <v>118</v>
      </c>
      <c r="L107" s="2"/>
    </row>
    <row r="108" spans="1:12" ht="78.75" x14ac:dyDescent="0.25">
      <c r="A108" s="9"/>
      <c r="B108" s="8"/>
      <c r="C108" s="4"/>
      <c r="D108" s="15" t="s">
        <v>159</v>
      </c>
      <c r="E108" s="31"/>
      <c r="F108" s="31">
        <f>11</f>
        <v>11</v>
      </c>
      <c r="G108" s="13" t="s">
        <v>157</v>
      </c>
      <c r="H108" s="68">
        <f>496.6/F108</f>
        <v>45.145454545454548</v>
      </c>
      <c r="I108" s="67">
        <f>F108*H108</f>
        <v>496.6</v>
      </c>
      <c r="J108" s="13" t="s">
        <v>118</v>
      </c>
      <c r="L108" s="2"/>
    </row>
    <row r="109" spans="1:12" ht="47.25" x14ac:dyDescent="0.25">
      <c r="A109" s="9"/>
      <c r="B109" s="8"/>
      <c r="C109" s="4"/>
      <c r="D109" s="15" t="s">
        <v>160</v>
      </c>
      <c r="E109" s="31"/>
      <c r="F109" s="31">
        <f>8</f>
        <v>8</v>
      </c>
      <c r="G109" s="13" t="s">
        <v>30</v>
      </c>
      <c r="H109" s="31">
        <f>13972.6/F109</f>
        <v>1746.575</v>
      </c>
      <c r="I109" s="67">
        <f>F109*H109</f>
        <v>13972.6</v>
      </c>
      <c r="J109" s="13" t="s">
        <v>118</v>
      </c>
      <c r="L109" s="2"/>
    </row>
    <row r="110" spans="1:12" ht="18.75" x14ac:dyDescent="0.25">
      <c r="A110" s="9" t="s">
        <v>84</v>
      </c>
      <c r="B110" s="8"/>
      <c r="C110" s="4"/>
      <c r="D110" s="15" t="s">
        <v>70</v>
      </c>
      <c r="E110" s="41" t="s">
        <v>140</v>
      </c>
      <c r="F110" s="41" t="s">
        <v>140</v>
      </c>
      <c r="G110" s="14" t="s">
        <v>55</v>
      </c>
      <c r="H110" s="41"/>
      <c r="I110" s="41" t="s">
        <v>140</v>
      </c>
      <c r="J110" s="13"/>
      <c r="L110" s="2"/>
    </row>
    <row r="111" spans="1:12" ht="18.75" x14ac:dyDescent="0.25">
      <c r="A111" s="9"/>
      <c r="B111" s="8"/>
      <c r="C111" s="4"/>
      <c r="D111" s="15" t="s">
        <v>166</v>
      </c>
      <c r="E111" s="41"/>
      <c r="F111" s="41">
        <f>1</f>
        <v>1</v>
      </c>
      <c r="G111" s="13" t="s">
        <v>31</v>
      </c>
      <c r="H111" s="41">
        <f>1210/F111</f>
        <v>1210</v>
      </c>
      <c r="I111" s="58">
        <f>F111*H111</f>
        <v>1210</v>
      </c>
      <c r="J111" s="13"/>
      <c r="L111" s="2"/>
    </row>
    <row r="112" spans="1:12" ht="31.5" x14ac:dyDescent="0.25">
      <c r="A112" s="9" t="s">
        <v>21</v>
      </c>
      <c r="B112" s="8"/>
      <c r="C112" s="4"/>
      <c r="D112" s="15" t="s">
        <v>71</v>
      </c>
      <c r="E112" s="41" t="s">
        <v>140</v>
      </c>
      <c r="F112" s="41" t="s">
        <v>140</v>
      </c>
      <c r="G112" s="14" t="s">
        <v>55</v>
      </c>
      <c r="H112" s="41"/>
      <c r="I112" s="41" t="s">
        <v>140</v>
      </c>
      <c r="J112" s="13"/>
      <c r="L112" s="2"/>
    </row>
    <row r="113" spans="1:12" ht="18.75" x14ac:dyDescent="0.25">
      <c r="A113" s="47"/>
      <c r="B113" s="48"/>
      <c r="C113" s="22"/>
      <c r="D113" s="30"/>
      <c r="E113" s="46"/>
      <c r="F113" s="46"/>
      <c r="G113" s="12"/>
      <c r="H113" s="41"/>
      <c r="I113" s="45">
        <f>SUM(I106:I112)</f>
        <v>42778.73333333333</v>
      </c>
      <c r="J113" s="13"/>
      <c r="L113" s="2"/>
    </row>
    <row r="114" spans="1:12" ht="18.75" x14ac:dyDescent="0.3">
      <c r="A114" s="72" t="s">
        <v>74</v>
      </c>
      <c r="B114" s="73"/>
      <c r="C114" s="73"/>
      <c r="D114" s="73"/>
      <c r="E114" s="73"/>
      <c r="F114" s="73"/>
      <c r="G114" s="74"/>
      <c r="H114" s="19"/>
      <c r="I114" s="5"/>
      <c r="J114" s="13"/>
      <c r="L114" s="2"/>
    </row>
    <row r="115" spans="1:12" ht="37.5" x14ac:dyDescent="0.25">
      <c r="A115" s="9" t="s">
        <v>98</v>
      </c>
      <c r="B115" s="8"/>
      <c r="C115" s="4"/>
      <c r="D115" s="4" t="s">
        <v>131</v>
      </c>
      <c r="E115" s="31"/>
      <c r="F115" s="13">
        <f>6+8+6+6+12+6+12+12+19+12+2</f>
        <v>101</v>
      </c>
      <c r="G115" s="13" t="s">
        <v>115</v>
      </c>
      <c r="H115" s="33">
        <f>(4212.2+5618+4212.2+4238.8+8479.6+4405.2+8806.4+8806.4+13946.6+8921.8+1486.6)/F115/3</f>
        <v>241.36567656765678</v>
      </c>
      <c r="I115" s="33">
        <f>F115*H115</f>
        <v>24377.933333333334</v>
      </c>
      <c r="J115" s="13" t="s">
        <v>116</v>
      </c>
      <c r="L115" s="2"/>
    </row>
    <row r="116" spans="1:12" ht="31.5" x14ac:dyDescent="0.25">
      <c r="A116" s="9"/>
      <c r="B116" s="8"/>
      <c r="C116" s="4"/>
      <c r="D116" s="15" t="s">
        <v>122</v>
      </c>
      <c r="E116" s="41"/>
      <c r="F116" s="41">
        <f>3</f>
        <v>3</v>
      </c>
      <c r="G116" s="13" t="s">
        <v>30</v>
      </c>
      <c r="H116" s="45">
        <f>4049.6/F116</f>
        <v>1349.8666666666666</v>
      </c>
      <c r="I116" s="60">
        <f>F116*H116</f>
        <v>4049.5999999999995</v>
      </c>
      <c r="J116" s="13" t="s">
        <v>178</v>
      </c>
      <c r="L116" s="2"/>
    </row>
    <row r="117" spans="1:12" ht="18.75" x14ac:dyDescent="0.25">
      <c r="A117" s="9"/>
      <c r="B117" s="8"/>
      <c r="C117" s="4"/>
      <c r="D117" s="4" t="s">
        <v>114</v>
      </c>
      <c r="E117" s="41"/>
      <c r="F117" s="41">
        <f>36+28+42+36+28+32+36+36+26+38+36</f>
        <v>374</v>
      </c>
      <c r="G117" s="13" t="s">
        <v>30</v>
      </c>
      <c r="H117" s="45">
        <f>(12036.4+9360.2+14041.2+1225.6+9506.4+10865.6+12744+12744+9202.4+13604+12888.6)/F117</f>
        <v>316.09197860962564</v>
      </c>
      <c r="I117" s="45">
        <f>F117*H117</f>
        <v>118218.4</v>
      </c>
      <c r="J117" s="13" t="s">
        <v>116</v>
      </c>
      <c r="L117" s="2"/>
    </row>
    <row r="118" spans="1:12" ht="18.75" x14ac:dyDescent="0.25">
      <c r="A118" s="9" t="s">
        <v>22</v>
      </c>
      <c r="B118" s="8"/>
      <c r="C118" s="4"/>
      <c r="D118" s="4" t="s">
        <v>77</v>
      </c>
      <c r="E118" s="41" t="s">
        <v>140</v>
      </c>
      <c r="F118" s="41" t="s">
        <v>140</v>
      </c>
      <c r="G118" s="13" t="s">
        <v>30</v>
      </c>
      <c r="H118" s="41"/>
      <c r="I118" s="45" t="s">
        <v>140</v>
      </c>
      <c r="J118" s="13"/>
      <c r="L118" s="2"/>
    </row>
    <row r="119" spans="1:12" ht="18.75" x14ac:dyDescent="0.25">
      <c r="A119" s="47"/>
      <c r="B119" s="48"/>
      <c r="C119" s="22"/>
      <c r="D119" s="22"/>
      <c r="E119" s="46"/>
      <c r="F119" s="46"/>
      <c r="G119" s="31"/>
      <c r="H119" s="41"/>
      <c r="I119" s="45">
        <f>SUM(I115:I118)</f>
        <v>146645.93333333332</v>
      </c>
      <c r="J119" s="13"/>
      <c r="L119" s="2"/>
    </row>
    <row r="120" spans="1:12" ht="18.75" x14ac:dyDescent="0.3">
      <c r="A120" s="72" t="s">
        <v>79</v>
      </c>
      <c r="B120" s="73"/>
      <c r="C120" s="73"/>
      <c r="D120" s="73"/>
      <c r="E120" s="73"/>
      <c r="F120" s="73"/>
      <c r="G120" s="74"/>
      <c r="H120" s="5"/>
      <c r="I120" s="5"/>
      <c r="J120" s="13"/>
      <c r="L120" s="2"/>
    </row>
    <row r="121" spans="1:12" ht="38.25" customHeight="1" x14ac:dyDescent="0.25">
      <c r="A121" s="9" t="s">
        <v>23</v>
      </c>
      <c r="B121" s="5"/>
      <c r="C121" s="4"/>
      <c r="D121" s="15" t="s">
        <v>141</v>
      </c>
      <c r="E121" s="41"/>
      <c r="F121" s="41"/>
      <c r="G121" s="13" t="s">
        <v>55</v>
      </c>
      <c r="H121" s="41"/>
      <c r="I121" s="58"/>
      <c r="J121" s="13"/>
      <c r="L121" s="2"/>
    </row>
    <row r="122" spans="1:12" ht="38.25" customHeight="1" x14ac:dyDescent="0.25">
      <c r="A122" s="9"/>
      <c r="B122" s="5"/>
      <c r="C122" s="4"/>
      <c r="D122" s="15" t="s">
        <v>155</v>
      </c>
      <c r="E122" s="41"/>
      <c r="F122" s="41"/>
      <c r="G122" s="13" t="s">
        <v>31</v>
      </c>
      <c r="H122" s="41"/>
      <c r="I122" s="41" t="s">
        <v>140</v>
      </c>
      <c r="J122" s="13"/>
      <c r="L122" s="2"/>
    </row>
    <row r="123" spans="1:12" ht="18.75" x14ac:dyDescent="0.25">
      <c r="A123" s="9" t="s">
        <v>24</v>
      </c>
      <c r="B123" s="5"/>
      <c r="C123" s="4"/>
      <c r="D123" s="4" t="s">
        <v>78</v>
      </c>
      <c r="E123" s="41"/>
      <c r="F123" s="41"/>
      <c r="G123" s="13" t="s">
        <v>55</v>
      </c>
      <c r="H123" s="41"/>
      <c r="I123" s="41" t="s">
        <v>140</v>
      </c>
      <c r="J123" s="13"/>
      <c r="L123" s="2"/>
    </row>
    <row r="124" spans="1:12" ht="31.5" x14ac:dyDescent="0.25">
      <c r="A124" s="9" t="s">
        <v>127</v>
      </c>
      <c r="B124" s="5"/>
      <c r="C124" s="4"/>
      <c r="D124" s="15" t="s">
        <v>149</v>
      </c>
      <c r="E124" s="41"/>
      <c r="F124" s="41">
        <f>1</f>
        <v>1</v>
      </c>
      <c r="G124" s="13" t="s">
        <v>55</v>
      </c>
      <c r="H124" s="41">
        <f>5608.8/F124</f>
        <v>5608.8</v>
      </c>
      <c r="I124" s="41">
        <f>F124*H124</f>
        <v>5608.8</v>
      </c>
      <c r="J124" s="13" t="s">
        <v>174</v>
      </c>
      <c r="L124" s="2"/>
    </row>
    <row r="125" spans="1:12" ht="18.75" x14ac:dyDescent="0.25">
      <c r="A125" s="9"/>
      <c r="B125" s="5"/>
      <c r="C125" s="4"/>
      <c r="D125" s="15" t="s">
        <v>226</v>
      </c>
      <c r="E125" s="41"/>
      <c r="F125" s="41">
        <f>30</f>
        <v>30</v>
      </c>
      <c r="G125" s="13" t="s">
        <v>146</v>
      </c>
      <c r="H125" s="41">
        <f>6660/F125</f>
        <v>222</v>
      </c>
      <c r="I125" s="58">
        <f>F125*H125</f>
        <v>6660</v>
      </c>
      <c r="J125" s="13" t="s">
        <v>174</v>
      </c>
      <c r="L125" s="2"/>
    </row>
    <row r="126" spans="1:12" ht="31.5" x14ac:dyDescent="0.25">
      <c r="A126" s="9"/>
      <c r="B126" s="5"/>
      <c r="C126" s="4"/>
      <c r="D126" s="15" t="s">
        <v>128</v>
      </c>
      <c r="E126" s="41"/>
      <c r="F126" s="41">
        <f>1</f>
        <v>1</v>
      </c>
      <c r="G126" s="13" t="s">
        <v>31</v>
      </c>
      <c r="H126" s="41">
        <f>1754/F126</f>
        <v>1754</v>
      </c>
      <c r="I126" s="41">
        <f>F126*H126</f>
        <v>1754</v>
      </c>
      <c r="J126" s="13" t="s">
        <v>178</v>
      </c>
      <c r="L126" s="2"/>
    </row>
    <row r="127" spans="1:12" ht="18.75" x14ac:dyDescent="0.25">
      <c r="A127" s="9"/>
      <c r="B127" s="5"/>
      <c r="C127" s="4"/>
      <c r="D127" s="15" t="s">
        <v>161</v>
      </c>
      <c r="E127" s="41"/>
      <c r="F127" s="41">
        <f>4</f>
        <v>4</v>
      </c>
      <c r="G127" s="13" t="s">
        <v>55</v>
      </c>
      <c r="H127" s="41">
        <f>311.4/F127</f>
        <v>77.849999999999994</v>
      </c>
      <c r="I127" s="41">
        <f>F127*H127</f>
        <v>311.39999999999998</v>
      </c>
      <c r="J127" s="13" t="s">
        <v>178</v>
      </c>
      <c r="L127" s="2"/>
    </row>
    <row r="128" spans="1:12" ht="18.75" x14ac:dyDescent="0.25">
      <c r="A128" s="9"/>
      <c r="B128" s="5"/>
      <c r="C128" s="4"/>
      <c r="D128" s="15" t="s">
        <v>107</v>
      </c>
      <c r="E128" s="32"/>
      <c r="F128" s="13">
        <f>4+9+4+6+3+15+4+1</f>
        <v>46</v>
      </c>
      <c r="G128" s="13" t="s">
        <v>31</v>
      </c>
      <c r="H128" s="33">
        <f>(828.6+1865.4+676.8+1014.8+516+2575+691.2+172)/F128</f>
        <v>181.29999999999998</v>
      </c>
      <c r="I128" s="13">
        <f t="shared" ref="I128" si="8">F128*H128</f>
        <v>8339.7999999999993</v>
      </c>
      <c r="J128" s="13" t="s">
        <v>116</v>
      </c>
      <c r="L128" s="2"/>
    </row>
    <row r="129" spans="1:12" ht="18.75" x14ac:dyDescent="0.25">
      <c r="A129" s="9"/>
      <c r="B129" s="5"/>
      <c r="C129" s="4"/>
      <c r="D129" s="15" t="s">
        <v>221</v>
      </c>
      <c r="E129" s="41"/>
      <c r="F129" s="41">
        <v>5</v>
      </c>
      <c r="G129" s="13" t="s">
        <v>31</v>
      </c>
      <c r="H129" s="41">
        <f>2254.8/F129</f>
        <v>450.96000000000004</v>
      </c>
      <c r="I129" s="41">
        <f>F129*H129</f>
        <v>2254.8000000000002</v>
      </c>
      <c r="J129" s="13" t="s">
        <v>174</v>
      </c>
      <c r="L129" s="2"/>
    </row>
    <row r="130" spans="1:12" ht="18.75" x14ac:dyDescent="0.25">
      <c r="A130" s="9"/>
      <c r="B130" s="5"/>
      <c r="C130" s="4"/>
      <c r="D130" s="15" t="s">
        <v>222</v>
      </c>
      <c r="E130" s="41"/>
      <c r="F130" s="41">
        <f>1</f>
        <v>1</v>
      </c>
      <c r="G130" s="13" t="s">
        <v>31</v>
      </c>
      <c r="H130" s="41">
        <f>163.2/F130</f>
        <v>163.19999999999999</v>
      </c>
      <c r="I130" s="41">
        <f>F130*H130</f>
        <v>163.19999999999999</v>
      </c>
      <c r="J130" s="13" t="s">
        <v>118</v>
      </c>
      <c r="L130" s="2"/>
    </row>
    <row r="131" spans="1:12" ht="56.25" x14ac:dyDescent="0.25">
      <c r="A131" s="9" t="s">
        <v>108</v>
      </c>
      <c r="B131" s="5"/>
      <c r="C131" s="4"/>
      <c r="D131" s="15" t="s">
        <v>125</v>
      </c>
      <c r="E131" s="32"/>
      <c r="F131" s="13">
        <f>63+63+63+63+63+63+63+63+63+63+63+63</f>
        <v>756</v>
      </c>
      <c r="G131" s="13" t="s">
        <v>109</v>
      </c>
      <c r="H131" s="33">
        <f>(6214.8+6214.8+6214.8+6252.4+6252.4+6252.4+6496.2+6496.2+6496.2+6496.2+6579.6+6579.6)/F131</f>
        <v>101.25079365079365</v>
      </c>
      <c r="I131" s="13">
        <f>F131*H131</f>
        <v>76545.600000000006</v>
      </c>
      <c r="J131" s="13" t="s">
        <v>116</v>
      </c>
      <c r="L131" s="2"/>
    </row>
    <row r="132" spans="1:12" ht="18.75" x14ac:dyDescent="0.25">
      <c r="A132" s="47"/>
      <c r="B132" s="22"/>
      <c r="C132" s="22"/>
      <c r="D132" s="30"/>
      <c r="E132" s="49"/>
      <c r="F132" s="50"/>
      <c r="G132" s="31"/>
      <c r="H132" s="31"/>
      <c r="I132" s="13">
        <f>SUM(I121:I131)</f>
        <v>101637.6</v>
      </c>
      <c r="J132" s="13"/>
      <c r="L132" s="2"/>
    </row>
    <row r="133" spans="1:12" ht="18.75" x14ac:dyDescent="0.25">
      <c r="A133" s="79" t="s">
        <v>91</v>
      </c>
      <c r="B133" s="80"/>
      <c r="C133" s="80"/>
      <c r="D133" s="80"/>
      <c r="E133" s="80"/>
      <c r="F133" s="80"/>
      <c r="G133" s="81"/>
      <c r="H133" s="12"/>
      <c r="I133" s="5"/>
      <c r="J133" s="13"/>
      <c r="L133" s="2"/>
    </row>
    <row r="134" spans="1:12" ht="18.75" x14ac:dyDescent="0.25">
      <c r="A134" s="26"/>
      <c r="B134" s="27"/>
      <c r="C134" s="27"/>
      <c r="D134" s="36" t="s">
        <v>117</v>
      </c>
      <c r="E134" s="41" t="s">
        <v>140</v>
      </c>
      <c r="F134" s="41">
        <f>1+2+2+6</f>
        <v>11</v>
      </c>
      <c r="G134" s="38" t="s">
        <v>31</v>
      </c>
      <c r="H134" s="45">
        <f>(1317+1976.6+2630.8+8131.2)/F134</f>
        <v>1277.7818181818182</v>
      </c>
      <c r="I134" s="41">
        <f>F134*H134</f>
        <v>14055.6</v>
      </c>
      <c r="J134" s="13" t="s">
        <v>178</v>
      </c>
      <c r="L134" s="2"/>
    </row>
    <row r="135" spans="1:12" ht="63" x14ac:dyDescent="0.25">
      <c r="A135" s="9" t="s">
        <v>89</v>
      </c>
      <c r="B135" s="22"/>
      <c r="C135" s="22"/>
      <c r="D135" s="23" t="s">
        <v>119</v>
      </c>
      <c r="E135" s="37">
        <v>1302</v>
      </c>
      <c r="F135" s="13">
        <v>1302</v>
      </c>
      <c r="G135" s="31" t="s">
        <v>90</v>
      </c>
      <c r="H135" s="31">
        <v>4.8</v>
      </c>
      <c r="I135" s="13">
        <f>F135*H135*12</f>
        <v>74995.199999999997</v>
      </c>
      <c r="J135" s="13" t="s">
        <v>116</v>
      </c>
      <c r="L135" s="2"/>
    </row>
    <row r="136" spans="1:12" ht="18.75" x14ac:dyDescent="0.3">
      <c r="A136" s="72" t="s">
        <v>80</v>
      </c>
      <c r="B136" s="73"/>
      <c r="C136" s="73"/>
      <c r="D136" s="73"/>
      <c r="E136" s="73"/>
      <c r="F136" s="73"/>
      <c r="G136" s="74"/>
      <c r="H136" s="19"/>
      <c r="I136" s="13">
        <f>SUM(I134:I135)</f>
        <v>89050.8</v>
      </c>
      <c r="J136" s="13"/>
      <c r="L136" s="2"/>
    </row>
    <row r="137" spans="1:12" ht="46.5" customHeight="1" x14ac:dyDescent="0.3">
      <c r="A137" s="34" t="s">
        <v>133</v>
      </c>
      <c r="B137" s="24"/>
      <c r="C137" s="24"/>
      <c r="D137" s="35" t="s">
        <v>132</v>
      </c>
      <c r="E137" s="13">
        <v>504</v>
      </c>
      <c r="F137" s="13">
        <v>504</v>
      </c>
      <c r="G137" s="13" t="s">
        <v>139</v>
      </c>
      <c r="H137" s="13">
        <v>13</v>
      </c>
      <c r="I137" s="13">
        <f>F137*H137*3</f>
        <v>19656</v>
      </c>
      <c r="J137" s="13" t="s">
        <v>148</v>
      </c>
      <c r="L137" s="2"/>
    </row>
    <row r="138" spans="1:12" ht="18.75" x14ac:dyDescent="0.25">
      <c r="A138" s="9" t="s">
        <v>25</v>
      </c>
      <c r="B138" s="5"/>
      <c r="C138" s="4"/>
      <c r="D138" s="4" t="s">
        <v>76</v>
      </c>
      <c r="E138" s="41" t="s">
        <v>140</v>
      </c>
      <c r="F138" s="41" t="s">
        <v>140</v>
      </c>
      <c r="G138" s="14" t="s">
        <v>55</v>
      </c>
      <c r="H138" s="41" t="s">
        <v>140</v>
      </c>
      <c r="I138" s="41" t="s">
        <v>140</v>
      </c>
      <c r="J138" s="13"/>
      <c r="L138" s="2"/>
    </row>
    <row r="139" spans="1:12" ht="47.25" x14ac:dyDescent="0.25">
      <c r="A139" s="9" t="s">
        <v>26</v>
      </c>
      <c r="B139" s="5"/>
      <c r="C139" s="4"/>
      <c r="D139" s="15" t="s">
        <v>28</v>
      </c>
      <c r="E139" s="41" t="s">
        <v>140</v>
      </c>
      <c r="F139" s="41" t="s">
        <v>140</v>
      </c>
      <c r="G139" s="14" t="s">
        <v>55</v>
      </c>
      <c r="H139" s="41" t="s">
        <v>140</v>
      </c>
      <c r="I139" s="41" t="s">
        <v>140</v>
      </c>
      <c r="J139" s="13"/>
      <c r="L139" s="2"/>
    </row>
    <row r="140" spans="1:12" ht="31.5" x14ac:dyDescent="0.25">
      <c r="A140" s="9" t="s">
        <v>27</v>
      </c>
      <c r="B140" s="5"/>
      <c r="C140" s="4"/>
      <c r="D140" s="15" t="s">
        <v>75</v>
      </c>
      <c r="E140" s="41" t="s">
        <v>140</v>
      </c>
      <c r="F140" s="41" t="s">
        <v>140</v>
      </c>
      <c r="G140" s="14" t="s">
        <v>55</v>
      </c>
      <c r="H140" s="41" t="s">
        <v>140</v>
      </c>
      <c r="I140" s="41" t="s">
        <v>140</v>
      </c>
      <c r="J140" s="13"/>
      <c r="L140" s="2"/>
    </row>
    <row r="141" spans="1:12" ht="18.75" x14ac:dyDescent="0.25">
      <c r="A141" s="47"/>
      <c r="B141" s="22"/>
      <c r="C141" s="22"/>
      <c r="D141" s="30"/>
      <c r="E141" s="46"/>
      <c r="F141" s="46"/>
      <c r="G141" s="12"/>
      <c r="H141" s="51"/>
      <c r="I141" s="53">
        <f>SUM(I137:I140)</f>
        <v>19656</v>
      </c>
      <c r="J141" s="52"/>
      <c r="L141" s="2"/>
    </row>
    <row r="142" spans="1:12" ht="18.75" x14ac:dyDescent="0.3">
      <c r="A142" s="72" t="s">
        <v>85</v>
      </c>
      <c r="B142" s="73"/>
      <c r="C142" s="73"/>
      <c r="D142" s="73"/>
      <c r="E142" s="73"/>
      <c r="F142" s="73"/>
      <c r="G142" s="74"/>
      <c r="H142" s="2"/>
      <c r="I142" s="2"/>
      <c r="J142" s="2"/>
      <c r="K142" s="2"/>
      <c r="L142" s="2"/>
    </row>
    <row r="143" spans="1:12" ht="48" x14ac:dyDescent="0.3">
      <c r="A143" s="6" t="s">
        <v>67</v>
      </c>
      <c r="B143" s="6"/>
      <c r="C143" s="4"/>
      <c r="D143" s="15" t="s">
        <v>188</v>
      </c>
      <c r="E143" s="41" t="s">
        <v>140</v>
      </c>
      <c r="F143" s="41"/>
      <c r="G143" s="13"/>
      <c r="H143" s="45"/>
      <c r="I143" s="41"/>
      <c r="J143" s="5"/>
      <c r="L143" s="2"/>
    </row>
    <row r="144" spans="1:12" ht="32.25" x14ac:dyDescent="0.3">
      <c r="A144" s="28"/>
      <c r="B144" s="29"/>
      <c r="C144" s="22"/>
      <c r="D144" s="40" t="s">
        <v>187</v>
      </c>
      <c r="E144" s="41"/>
      <c r="F144" s="41"/>
      <c r="G144" s="13" t="s">
        <v>31</v>
      </c>
      <c r="H144" s="41"/>
      <c r="I144" s="58"/>
      <c r="J144" s="5"/>
      <c r="L144" s="2"/>
    </row>
    <row r="145" spans="1:12" ht="18.75" x14ac:dyDescent="0.3">
      <c r="A145" s="28"/>
      <c r="B145" s="29"/>
      <c r="C145" s="22"/>
      <c r="D145" s="40" t="s">
        <v>186</v>
      </c>
      <c r="E145" s="41"/>
      <c r="F145" s="41"/>
      <c r="G145" s="13" t="s">
        <v>31</v>
      </c>
      <c r="H145" s="41"/>
      <c r="I145" s="58"/>
      <c r="J145" s="5"/>
      <c r="L145" s="2"/>
    </row>
    <row r="146" spans="1:12" ht="32.25" x14ac:dyDescent="0.3">
      <c r="A146" s="28"/>
      <c r="B146" s="29"/>
      <c r="C146" s="22"/>
      <c r="D146" s="40" t="s">
        <v>110</v>
      </c>
      <c r="E146" s="41">
        <v>1</v>
      </c>
      <c r="F146" s="41">
        <v>1</v>
      </c>
      <c r="G146" s="13" t="s">
        <v>111</v>
      </c>
      <c r="H146" s="41">
        <v>26775</v>
      </c>
      <c r="I146" s="44">
        <f>F146*H146</f>
        <v>26775</v>
      </c>
      <c r="J146" s="39" t="s">
        <v>118</v>
      </c>
      <c r="L146" s="2"/>
    </row>
    <row r="147" spans="1:12" ht="18.75" x14ac:dyDescent="0.3">
      <c r="A147" s="28"/>
      <c r="B147" s="29"/>
      <c r="C147" s="22"/>
      <c r="D147" s="30"/>
      <c r="E147" s="46"/>
      <c r="F147" s="46"/>
      <c r="G147" s="31"/>
      <c r="H147" s="46"/>
      <c r="I147" s="54">
        <f>SUM(I143:I146)</f>
        <v>26775</v>
      </c>
      <c r="J147" s="55"/>
      <c r="L147" s="2"/>
    </row>
    <row r="148" spans="1:12" ht="18.75" x14ac:dyDescent="0.3">
      <c r="A148" s="72" t="s">
        <v>99</v>
      </c>
      <c r="B148" s="73"/>
      <c r="C148" s="73"/>
      <c r="D148" s="73"/>
      <c r="E148" s="73"/>
      <c r="F148" s="73"/>
      <c r="G148" s="74"/>
      <c r="H148" s="72"/>
      <c r="I148" s="73"/>
      <c r="J148" s="73"/>
      <c r="L148" s="2"/>
    </row>
    <row r="149" spans="1:12" ht="32.25" x14ac:dyDescent="0.3">
      <c r="A149" s="34" t="s">
        <v>147</v>
      </c>
      <c r="B149" s="24"/>
      <c r="C149" s="24"/>
      <c r="D149" s="40" t="s">
        <v>134</v>
      </c>
      <c r="E149" s="13"/>
      <c r="F149" s="13">
        <f>1</f>
        <v>1</v>
      </c>
      <c r="G149" s="13" t="s">
        <v>135</v>
      </c>
      <c r="H149" s="13">
        <f>800/F149</f>
        <v>800</v>
      </c>
      <c r="I149" s="61">
        <f t="shared" ref="I149:I152" si="9">F149*H149</f>
        <v>800</v>
      </c>
      <c r="J149" s="13" t="s">
        <v>124</v>
      </c>
      <c r="L149" s="2"/>
    </row>
    <row r="150" spans="1:12" ht="48" x14ac:dyDescent="0.3">
      <c r="A150" s="24"/>
      <c r="B150" s="24"/>
      <c r="C150" s="24"/>
      <c r="D150" s="40" t="s">
        <v>136</v>
      </c>
      <c r="E150" s="41"/>
      <c r="F150" s="41">
        <f>60</f>
        <v>60</v>
      </c>
      <c r="G150" s="13" t="s">
        <v>137</v>
      </c>
      <c r="H150" s="41">
        <f>39000/F150</f>
        <v>650</v>
      </c>
      <c r="I150" s="60">
        <f>F150*H150</f>
        <v>39000</v>
      </c>
      <c r="J150" s="13" t="s">
        <v>124</v>
      </c>
      <c r="L150" s="2"/>
    </row>
    <row r="151" spans="1:12" ht="32.25" x14ac:dyDescent="0.3">
      <c r="A151" s="24"/>
      <c r="B151" s="24"/>
      <c r="C151" s="24"/>
      <c r="D151" s="40" t="s">
        <v>176</v>
      </c>
      <c r="E151" s="13"/>
      <c r="F151" s="13">
        <f>420+300+240+180</f>
        <v>1140</v>
      </c>
      <c r="G151" s="13" t="s">
        <v>138</v>
      </c>
      <c r="H151" s="33">
        <f>(19249+13749+10999+8249)/F151</f>
        <v>45.829824561403505</v>
      </c>
      <c r="I151" s="61">
        <f t="shared" si="9"/>
        <v>52245.999999999993</v>
      </c>
      <c r="J151" s="13" t="s">
        <v>124</v>
      </c>
      <c r="L151" s="2"/>
    </row>
    <row r="152" spans="1:12" ht="32.25" x14ac:dyDescent="0.3">
      <c r="A152" s="24"/>
      <c r="B152" s="24"/>
      <c r="C152" s="24"/>
      <c r="D152" s="40" t="s">
        <v>177</v>
      </c>
      <c r="E152" s="13"/>
      <c r="F152" s="13">
        <f>30</f>
        <v>30</v>
      </c>
      <c r="G152" s="13" t="s">
        <v>138</v>
      </c>
      <c r="H152" s="33">
        <f>1375/F152</f>
        <v>45.833333333333336</v>
      </c>
      <c r="I152" s="61">
        <f t="shared" si="9"/>
        <v>1375</v>
      </c>
      <c r="J152" s="13" t="s">
        <v>124</v>
      </c>
      <c r="L152" s="2"/>
    </row>
    <row r="153" spans="1:12" ht="18.75" x14ac:dyDescent="0.3">
      <c r="A153" s="24"/>
      <c r="B153" s="24"/>
      <c r="C153" s="24"/>
      <c r="D153" s="40" t="s">
        <v>182</v>
      </c>
      <c r="E153" s="13"/>
      <c r="F153" s="13">
        <v>1</v>
      </c>
      <c r="G153" s="13" t="s">
        <v>183</v>
      </c>
      <c r="H153" s="13"/>
      <c r="I153" s="61">
        <f t="shared" ref="I153:I157" si="10">F153*H153</f>
        <v>0</v>
      </c>
      <c r="J153" s="13" t="s">
        <v>123</v>
      </c>
      <c r="L153" s="2"/>
    </row>
    <row r="154" spans="1:12" ht="18.75" x14ac:dyDescent="0.3">
      <c r="A154" s="24"/>
      <c r="B154" s="24"/>
      <c r="C154" s="24"/>
      <c r="D154" s="40" t="s">
        <v>173</v>
      </c>
      <c r="E154" s="13"/>
      <c r="F154" s="13">
        <f>2</f>
        <v>2</v>
      </c>
      <c r="G154" s="13" t="s">
        <v>31</v>
      </c>
      <c r="H154" s="13">
        <f>23340/F154</f>
        <v>11670</v>
      </c>
      <c r="I154" s="61">
        <f t="shared" si="10"/>
        <v>23340</v>
      </c>
      <c r="J154" s="13" t="s">
        <v>121</v>
      </c>
      <c r="L154" s="2"/>
    </row>
    <row r="155" spans="1:12" ht="18.75" x14ac:dyDescent="0.3">
      <c r="A155" s="24"/>
      <c r="B155" s="24"/>
      <c r="C155" s="24"/>
      <c r="D155" s="40" t="s">
        <v>153</v>
      </c>
      <c r="E155" s="13"/>
      <c r="F155" s="13">
        <f>1.5+2.3</f>
        <v>3.8</v>
      </c>
      <c r="G155" s="13" t="s">
        <v>146</v>
      </c>
      <c r="H155" s="33">
        <f>(5259.8+8440)/F155</f>
        <v>3605.2105263157896</v>
      </c>
      <c r="I155" s="61">
        <f>F155*H155</f>
        <v>13699.8</v>
      </c>
      <c r="J155" s="13" t="s">
        <v>123</v>
      </c>
      <c r="L155" s="2"/>
    </row>
    <row r="156" spans="1:12" ht="32.25" x14ac:dyDescent="0.3">
      <c r="A156" s="24"/>
      <c r="B156" s="24"/>
      <c r="C156" s="24"/>
      <c r="D156" s="40" t="s">
        <v>200</v>
      </c>
      <c r="E156" s="13"/>
      <c r="F156" s="13">
        <v>10</v>
      </c>
      <c r="G156" s="13" t="s">
        <v>146</v>
      </c>
      <c r="H156" s="13">
        <f>8346/F156</f>
        <v>834.6</v>
      </c>
      <c r="I156" s="61">
        <f t="shared" si="10"/>
        <v>8346</v>
      </c>
      <c r="J156" s="13" t="s">
        <v>118</v>
      </c>
      <c r="L156" s="2"/>
    </row>
    <row r="157" spans="1:12" ht="18.75" x14ac:dyDescent="0.3">
      <c r="A157" s="24"/>
      <c r="B157" s="24"/>
      <c r="C157" s="24"/>
      <c r="D157" s="40" t="s">
        <v>185</v>
      </c>
      <c r="E157" s="13"/>
      <c r="F157" s="13">
        <f>8</f>
        <v>8</v>
      </c>
      <c r="G157" s="13" t="s">
        <v>146</v>
      </c>
      <c r="H157" s="13">
        <f>5910.6/F157</f>
        <v>738.82500000000005</v>
      </c>
      <c r="I157" s="61">
        <f t="shared" si="10"/>
        <v>5910.6</v>
      </c>
      <c r="J157" s="13" t="s">
        <v>118</v>
      </c>
      <c r="L157" s="2"/>
    </row>
    <row r="158" spans="1:12" ht="32.25" x14ac:dyDescent="0.3">
      <c r="A158" s="24"/>
      <c r="B158" s="24"/>
      <c r="C158" s="24"/>
      <c r="D158" s="40" t="s">
        <v>198</v>
      </c>
      <c r="E158" s="13"/>
      <c r="F158" s="41">
        <f>2</f>
        <v>2</v>
      </c>
      <c r="G158" s="13" t="s">
        <v>113</v>
      </c>
      <c r="H158" s="45">
        <f>992.4/F158</f>
        <v>496.2</v>
      </c>
      <c r="I158" s="58">
        <f>F158*H158</f>
        <v>992.4</v>
      </c>
      <c r="J158" s="13" t="s">
        <v>118</v>
      </c>
      <c r="L158" s="2"/>
    </row>
    <row r="159" spans="1:12" ht="32.25" x14ac:dyDescent="0.3">
      <c r="A159" s="24"/>
      <c r="B159" s="24"/>
      <c r="C159" s="24"/>
      <c r="D159" s="40" t="s">
        <v>199</v>
      </c>
      <c r="E159" s="13"/>
      <c r="F159" s="41">
        <f>6</f>
        <v>6</v>
      </c>
      <c r="G159" s="13" t="s">
        <v>113</v>
      </c>
      <c r="H159" s="45">
        <f>2206.6/F159</f>
        <v>367.76666666666665</v>
      </c>
      <c r="I159" s="58">
        <f>F159*H159</f>
        <v>2206.6</v>
      </c>
      <c r="J159" s="13" t="s">
        <v>118</v>
      </c>
      <c r="L159" s="2"/>
    </row>
    <row r="160" spans="1:12" ht="18.75" x14ac:dyDescent="0.3">
      <c r="A160" s="34"/>
      <c r="B160" s="14"/>
      <c r="C160" s="14"/>
      <c r="D160" s="40"/>
      <c r="E160" s="13"/>
      <c r="F160" s="13"/>
      <c r="G160" s="13"/>
      <c r="H160" s="13"/>
      <c r="I160" s="65">
        <f>SUM(I149:I159)</f>
        <v>147916.4</v>
      </c>
      <c r="J160" s="14"/>
      <c r="L160" s="2"/>
    </row>
    <row r="161" spans="1:12" ht="18.75" x14ac:dyDescent="0.3">
      <c r="A161" s="62" t="s">
        <v>192</v>
      </c>
      <c r="B161" s="14"/>
      <c r="C161" s="14"/>
      <c r="D161" s="43"/>
      <c r="E161" s="14"/>
      <c r="F161" s="14"/>
      <c r="G161" s="38"/>
      <c r="H161" s="14"/>
      <c r="I161" s="64">
        <f>I5+I6+I8+I22+I27+I29+I30+I36+I37+I38+I39+I43+I44+I45+I46+I47+I48+I49+I50+I51+I52+I53+I54+I55+I56+I57+I58+I59+I60+I61+I63+I64+I68+I72+I73+I74+I75+I77+I78+I90+I92+I93+I102+I103+I107+I108+I109+I111+I116+I121+I125+I144+I145+I149+I150+I151+I152+I153+I154+I155+I156+I157+I158+I159+I65+I66+I67</f>
        <v>2177775.4</v>
      </c>
      <c r="J161" s="14"/>
      <c r="L161" s="2"/>
    </row>
    <row r="162" spans="1:12" ht="15.75" x14ac:dyDescent="0.25">
      <c r="A162" s="56" t="s">
        <v>175</v>
      </c>
      <c r="B162" s="25"/>
      <c r="C162" s="25"/>
      <c r="D162" s="43"/>
      <c r="E162" s="13"/>
      <c r="F162" s="13"/>
      <c r="G162" s="38"/>
      <c r="H162" s="13"/>
      <c r="I162" s="57">
        <f>I16+I41+I82+I97+I104+I113+I119+I132+I136+I141+I147+I160</f>
        <v>2256731.44</v>
      </c>
      <c r="J162" s="14"/>
      <c r="K162" s="2"/>
      <c r="L162" s="2"/>
    </row>
    <row r="163" spans="1:12" ht="99.75" customHeight="1" x14ac:dyDescent="0.25">
      <c r="A163" s="69" t="s">
        <v>106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2"/>
      <c r="L163" s="2"/>
    </row>
    <row r="164" spans="1:12" ht="15.75" x14ac:dyDescent="0.25">
      <c r="A164" s="2"/>
      <c r="B164" s="2"/>
      <c r="C164" s="2"/>
      <c r="D164" s="16"/>
      <c r="E164" s="2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2"/>
      <c r="F165" s="63"/>
      <c r="G165" s="2"/>
      <c r="H165" s="2"/>
      <c r="I165" s="2"/>
      <c r="J165" s="63"/>
      <c r="K165" s="2"/>
      <c r="L165" s="2"/>
    </row>
    <row r="166" spans="1:12" ht="15.75" x14ac:dyDescent="0.25">
      <c r="A166" s="2"/>
      <c r="B166" s="2"/>
      <c r="C166" s="2"/>
      <c r="D166" s="16"/>
      <c r="E166" s="2"/>
      <c r="F166" s="63"/>
      <c r="G166" s="2"/>
      <c r="H166" s="2"/>
      <c r="I166" s="63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2"/>
      <c r="F167" s="63"/>
      <c r="G167" s="2"/>
      <c r="H167" s="2"/>
      <c r="I167" s="63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</sheetData>
  <mergeCells count="16">
    <mergeCell ref="A163:J163"/>
    <mergeCell ref="A2:J2"/>
    <mergeCell ref="A148:G148"/>
    <mergeCell ref="H148:J148"/>
    <mergeCell ref="I1:J1"/>
    <mergeCell ref="A105:G105"/>
    <mergeCell ref="A120:G120"/>
    <mergeCell ref="A142:G142"/>
    <mergeCell ref="A42:G42"/>
    <mergeCell ref="A17:G17"/>
    <mergeCell ref="A4:G4"/>
    <mergeCell ref="A133:G133"/>
    <mergeCell ref="A83:G83"/>
    <mergeCell ref="A98:G98"/>
    <mergeCell ref="A114:G114"/>
    <mergeCell ref="A136:G136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2025-01-30T08:47:41Z</cp:lastPrinted>
  <dcterms:created xsi:type="dcterms:W3CDTF">2017-05-29T12:14:13Z</dcterms:created>
  <dcterms:modified xsi:type="dcterms:W3CDTF">2025-03-14T04:49:49Z</dcterms:modified>
</cp:coreProperties>
</file>