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108" i="1" l="1"/>
  <c r="H108" i="1" s="1"/>
  <c r="F125" i="1"/>
  <c r="H125" i="1" s="1"/>
  <c r="F100" i="1"/>
  <c r="H100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150" i="1"/>
  <c r="H150" i="1" s="1"/>
  <c r="F147" i="1"/>
  <c r="H147" i="1" s="1"/>
  <c r="F145" i="1"/>
  <c r="H145" i="1" s="1"/>
  <c r="F131" i="1"/>
  <c r="H131" i="1" s="1"/>
  <c r="F90" i="1"/>
  <c r="H90" i="1" s="1"/>
  <c r="H89" i="1"/>
  <c r="I125" i="1" l="1"/>
  <c r="I108" i="1"/>
  <c r="F76" i="1"/>
  <c r="F66" i="1"/>
  <c r="H66" i="1" s="1"/>
  <c r="F65" i="1"/>
  <c r="H65" i="1" s="1"/>
  <c r="H56" i="1"/>
  <c r="H118" i="1"/>
  <c r="H76" i="1" l="1"/>
  <c r="I76" i="1" s="1"/>
  <c r="F134" i="1"/>
  <c r="H134" i="1" s="1"/>
  <c r="F133" i="1"/>
  <c r="H133" i="1" s="1"/>
  <c r="F109" i="1"/>
  <c r="H109" i="1" s="1"/>
  <c r="F173" i="1" l="1"/>
  <c r="H173" i="1" s="1"/>
  <c r="H171" i="1"/>
  <c r="F113" i="1"/>
  <c r="H113" i="1" s="1"/>
  <c r="H72" i="1"/>
  <c r="F6" i="1" l="1"/>
  <c r="F10" i="1"/>
  <c r="F88" i="1" l="1"/>
  <c r="H88" i="1" s="1"/>
  <c r="H73" i="1"/>
  <c r="H11" i="1"/>
  <c r="I11" i="1" s="1"/>
  <c r="H58" i="1"/>
  <c r="F127" i="1"/>
  <c r="H127" i="1" l="1"/>
  <c r="I127" i="1" s="1"/>
  <c r="I88" i="1"/>
  <c r="I73" i="1"/>
  <c r="H172" i="1"/>
  <c r="F83" i="1"/>
  <c r="H83" i="1" s="1"/>
  <c r="F82" i="1"/>
  <c r="H82" i="1" s="1"/>
  <c r="F55" i="1"/>
  <c r="H55" i="1" s="1"/>
  <c r="F103" i="1"/>
  <c r="H103" i="1" l="1"/>
  <c r="I103" i="1" s="1"/>
  <c r="I82" i="1"/>
  <c r="I83" i="1"/>
  <c r="H8" i="1"/>
  <c r="I8" i="1" s="1"/>
  <c r="F48" i="1"/>
  <c r="H48" i="1" s="1"/>
  <c r="F151" i="1"/>
  <c r="H151" i="1" s="1"/>
  <c r="F139" i="1"/>
  <c r="H10" i="1"/>
  <c r="I10" i="1" s="1"/>
  <c r="I9" i="1"/>
  <c r="I109" i="1"/>
  <c r="H139" i="1" l="1"/>
  <c r="I139" i="1" s="1"/>
  <c r="I151" i="1"/>
  <c r="F49" i="1"/>
  <c r="H49" i="1" s="1"/>
  <c r="F51" i="1"/>
  <c r="H51" i="1" s="1"/>
  <c r="F32" i="1"/>
  <c r="H32" i="1" s="1"/>
  <c r="I113" i="1"/>
  <c r="F112" i="1"/>
  <c r="H112" i="1" s="1"/>
  <c r="F111" i="1"/>
  <c r="H111" i="1" s="1"/>
  <c r="I111" i="1" s="1"/>
  <c r="H110" i="1"/>
  <c r="F116" i="1"/>
  <c r="H116" i="1" s="1"/>
  <c r="H7" i="1"/>
  <c r="I7" i="1" s="1"/>
  <c r="F60" i="1"/>
  <c r="H60" i="1" s="1"/>
  <c r="F37" i="1"/>
  <c r="H37" i="1" s="1"/>
  <c r="H176" i="1"/>
  <c r="F178" i="1"/>
  <c r="H178" i="1" s="1"/>
  <c r="H117" i="1"/>
  <c r="F115" i="1"/>
  <c r="H115" i="1" s="1"/>
  <c r="H114" i="1"/>
  <c r="F121" i="1"/>
  <c r="H121" i="1" s="1"/>
  <c r="F120" i="1"/>
  <c r="H120" i="1" s="1"/>
  <c r="F97" i="1"/>
  <c r="H97" i="1" s="1"/>
  <c r="I120" i="1" l="1"/>
  <c r="I37" i="1"/>
  <c r="I32" i="1"/>
  <c r="I110" i="1"/>
  <c r="I112" i="1"/>
  <c r="F53" i="1"/>
  <c r="H53" i="1" s="1"/>
  <c r="F31" i="1"/>
  <c r="H31" i="1" s="1"/>
  <c r="H28" i="1"/>
  <c r="H27" i="1"/>
  <c r="I27" i="1" s="1"/>
  <c r="H26" i="1"/>
  <c r="I26" i="1" s="1"/>
  <c r="H174" i="1"/>
  <c r="I174" i="1" s="1"/>
  <c r="I173" i="1"/>
  <c r="I31" i="1" l="1"/>
  <c r="I28" i="1"/>
  <c r="F132" i="1" l="1"/>
  <c r="H132" i="1" s="1"/>
  <c r="F102" i="1"/>
  <c r="H102" i="1" s="1"/>
  <c r="I102" i="1" l="1"/>
  <c r="H177" i="1"/>
  <c r="H6" i="1"/>
  <c r="F5" i="1"/>
  <c r="H5" i="1" s="1"/>
  <c r="F52" i="1"/>
  <c r="H52" i="1" s="1"/>
  <c r="H43" i="1"/>
  <c r="F168" i="1"/>
  <c r="H168" i="1" s="1"/>
  <c r="F169" i="1"/>
  <c r="H169" i="1" s="1"/>
  <c r="H144" i="1"/>
  <c r="I144" i="1" s="1"/>
  <c r="F143" i="1"/>
  <c r="H143" i="1" s="1"/>
  <c r="F142" i="1"/>
  <c r="H142" i="1" s="1"/>
  <c r="F141" i="1"/>
  <c r="H141" i="1" s="1"/>
  <c r="F36" i="1"/>
  <c r="H36" i="1" s="1"/>
  <c r="F74" i="1"/>
  <c r="H74" i="1" s="1"/>
  <c r="F77" i="1"/>
  <c r="F87" i="1"/>
  <c r="H87" i="1" s="1"/>
  <c r="F67" i="1"/>
  <c r="F63" i="1"/>
  <c r="H63" i="1" s="1"/>
  <c r="F64" i="1"/>
  <c r="H64" i="1" s="1"/>
  <c r="F70" i="1"/>
  <c r="H70" i="1" s="1"/>
  <c r="F69" i="1"/>
  <c r="H69" i="1" s="1"/>
  <c r="F61" i="1"/>
  <c r="H61" i="1" s="1"/>
  <c r="F47" i="1"/>
  <c r="H47" i="1" s="1"/>
  <c r="H57" i="1"/>
  <c r="H50" i="1"/>
  <c r="F78" i="1"/>
  <c r="H78" i="1" s="1"/>
  <c r="H54" i="1"/>
  <c r="H71" i="1"/>
  <c r="I71" i="1" s="1"/>
  <c r="H153" i="1"/>
  <c r="I153" i="1" s="1"/>
  <c r="H152" i="1"/>
  <c r="I152" i="1" s="1"/>
  <c r="F175" i="1"/>
  <c r="H175" i="1" s="1"/>
  <c r="I70" i="1" l="1"/>
  <c r="I36" i="1"/>
  <c r="I78" i="1"/>
  <c r="I69" i="1"/>
  <c r="I74" i="1"/>
  <c r="I143" i="1"/>
  <c r="H77" i="1"/>
  <c r="I77" i="1" s="1"/>
  <c r="H67" i="1"/>
  <c r="I67" i="1" s="1"/>
  <c r="I141" i="1"/>
  <c r="I142" i="1"/>
  <c r="I58" i="1" l="1"/>
  <c r="I6" i="1"/>
  <c r="I117" i="1"/>
  <c r="I114" i="1"/>
  <c r="I56" i="1"/>
  <c r="I55" i="1"/>
  <c r="I54" i="1" l="1"/>
  <c r="I96" i="1"/>
  <c r="I115" i="1"/>
  <c r="I57" i="1"/>
  <c r="I129" i="1"/>
  <c r="I49" i="1"/>
  <c r="I47" i="1"/>
  <c r="I61" i="1"/>
  <c r="F138" i="1"/>
  <c r="H138" i="1" s="1"/>
  <c r="F101" i="1"/>
  <c r="I60" i="1" l="1"/>
  <c r="I72" i="1"/>
  <c r="I48" i="1"/>
  <c r="I43" i="1"/>
  <c r="I87" i="1"/>
  <c r="I53" i="1"/>
  <c r="I52" i="1"/>
  <c r="I66" i="1"/>
  <c r="I65" i="1"/>
  <c r="I64" i="1"/>
  <c r="I63" i="1"/>
  <c r="I138" i="1"/>
  <c r="I95" i="1" l="1"/>
  <c r="I94" i="1"/>
  <c r="I93" i="1"/>
  <c r="I92" i="1"/>
  <c r="I91" i="1"/>
  <c r="I100" i="1" l="1"/>
  <c r="I121" i="1" l="1"/>
  <c r="I101" i="1"/>
  <c r="I176" i="1"/>
  <c r="I45" i="1" l="1"/>
  <c r="I172" i="1"/>
  <c r="I177" i="1"/>
  <c r="I175" i="1"/>
  <c r="I90" i="1" l="1"/>
  <c r="I133" i="1"/>
  <c r="I118" i="1"/>
  <c r="I168" i="1"/>
  <c r="I97" i="1" l="1"/>
  <c r="I116" i="1"/>
  <c r="I123" i="1" s="1"/>
  <c r="I169" i="1"/>
  <c r="I51" i="1" l="1"/>
  <c r="I5" i="1" l="1"/>
  <c r="I178" i="1"/>
  <c r="I132" i="1"/>
  <c r="I50" i="1"/>
  <c r="I131" i="1"/>
  <c r="I21" i="1" l="1"/>
  <c r="I84" i="1"/>
  <c r="I171" i="1"/>
  <c r="I180" i="1" s="1"/>
  <c r="I150" i="1"/>
  <c r="I179" i="1" l="1"/>
  <c r="I147" i="1"/>
  <c r="I164" i="1"/>
  <c r="I165" i="1" s="1"/>
  <c r="I134" i="1"/>
  <c r="I136" i="1" s="1"/>
  <c r="I89" i="1" l="1"/>
  <c r="I106" i="1" s="1"/>
  <c r="I145" i="1" l="1"/>
  <c r="I148" i="1" s="1"/>
  <c r="I157" i="1" l="1"/>
  <c r="I161" i="1" s="1"/>
  <c r="I154" i="1"/>
  <c r="I155" i="1" s="1"/>
  <c r="I181" i="1" l="1"/>
</calcChain>
</file>

<file path=xl/sharedStrings.xml><?xml version="1.0" encoding="utf-8"?>
<sst xmlns="http://schemas.openxmlformats.org/spreadsheetml/2006/main" count="604" uniqueCount="246">
  <si>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</si>
  <si>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</si>
  <si>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</si>
  <si>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</si>
  <si>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</si>
  <si>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</si>
  <si>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</si>
  <si>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</si>
  <si>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</si>
  <si>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</si>
  <si>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</si>
  <si>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</si>
  <si>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</si>
  <si>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</si>
  <si>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</si>
  <si>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</si>
  <si>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</si>
  <si>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</si>
  <si>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</si>
  <si>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</si>
  <si>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</si>
  <si>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</si>
  <si>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</si>
  <si>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</si>
  <si>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</si>
  <si>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</si>
  <si>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</si>
  <si>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</si>
  <si>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</si>
  <si>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</si>
  <si>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</si>
  <si>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</si>
  <si>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</si>
  <si>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</si>
  <si>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</si>
  <si>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</si>
  <si>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</si>
  <si>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</si>
  <si>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</si>
  <si>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</si>
  <si>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</si>
  <si>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</si>
  <si>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</si>
  <si>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</si>
  <si>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</si>
  <si>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</si>
  <si>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</si>
  <si>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</si>
  <si>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</si>
  <si>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</si>
  <si>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</si>
  <si>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</si>
  <si>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</si>
  <si>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</si>
  <si>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</si>
  <si>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</si>
  <si>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</si>
  <si>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</si>
  <si>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</si>
  <si>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</si>
  <si>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</si>
  <si>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</si>
  <si>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</si>
  <si>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</si>
  <si>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</si>
  <si>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</si>
  <si>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</si>
  <si>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</si>
  <si>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</si>
  <si>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</si>
  <si>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</si>
  <si>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</si>
  <si>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</si>
  <si>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</si>
  <si>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</si>
  <si>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</si>
  <si>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</si>
  <si>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</si>
  <si>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</si>
  <si>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</si>
  <si>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</si>
  <si>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</si>
  <si>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</si>
  <si>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</si>
  <si>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</si>
  <si>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</si>
  <si>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</si>
  <si>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</si>
  <si>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</si>
  <si>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</si>
  <si>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</si>
  <si>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</si>
  <si>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</si>
  <si>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</si>
  <si>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</si>
  <si>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</si>
  <si>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</si>
  <si>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</si>
  <si>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</si>
  <si>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</si>
  <si>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</si>
  <si>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</si>
  <si>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</si>
  <si>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</si>
  <si>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</si>
  <si>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</si>
  <si>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</si>
  <si>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</si>
  <si>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</si>
  <si>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</si>
  <si>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</si>
  <si>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</si>
  <si>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</si>
  <si>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</si>
  <si>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</si>
  <si>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</si>
  <si>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</si>
  <si>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</si>
  <si>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</si>
  <si>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</si>
  <si>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</si>
  <si>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</si>
  <si>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</si>
  <si>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</si>
  <si>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</si>
  <si>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</si>
  <si>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</si>
  <si>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</si>
  <si>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</si>
  <si>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</si>
  <si>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</si>
  <si>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</si>
  <si>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</si>
  <si>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</si>
  <si>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</si>
  <si>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</si>
  <si>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</si>
  <si>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</si>
  <si>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</si>
  <si>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</si>
  <si>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</si>
  <si>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</si>
  <si>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</si>
  <si>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</si>
  <si>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</si>
  <si>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</si>
  <si>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</si>
  <si>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</si>
  <si>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установка насосов</t>
  </si>
  <si>
    <t>ремонт/частичная замена поврежденных участков при помощи альпинистов</t>
  </si>
  <si>
    <t>установка хомутов диаметром трубопроводов до 100мм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</si>
  <si>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</si>
  <si>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</si>
  <si>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</si>
  <si>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</si>
  <si>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</si>
  <si>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</si>
  <si>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ремонт штукатурки гладких фасадов по камню и бетону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</si>
  <si>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</si>
  <si>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</si>
  <si>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</si>
  <si>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водоотлив из подвала электрическими нососами</t>
  </si>
  <si>
    <t>разборка трубопроводов из водогазопроводных труб диам. до 63мм</t>
  </si>
  <si>
    <t>ремонт межпанельных швов без вскрытия</t>
  </si>
  <si>
    <t>ремонт мягкого покрытия кровли в 1 слой</t>
  </si>
  <si>
    <t>смена выключателей</t>
  </si>
  <si>
    <t>разборка покрытий полов из керамических плиток</t>
  </si>
  <si>
    <t>устройство покрытий из керамогранитных плиток размером 30х30</t>
  </si>
  <si>
    <t>1м3 заделки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</si>
  <si>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</si>
  <si>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</si>
  <si>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</si>
  <si>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установка и изготовление сопла </t>
  </si>
  <si>
    <t>кг</t>
  </si>
  <si>
    <t>установка решеток выхода на кровлю</t>
  </si>
  <si>
    <t xml:space="preserve"> смена кранов на шаровые краны диам.15мм</t>
  </si>
  <si>
    <t xml:space="preserve"> смена кранов на шаровые краны диам.15,20,32мм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</si>
  <si>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</si>
  <si>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трубопроводов водоснабжения и отопления из полипропиленовых труб:диам. 25мм</t>
  </si>
  <si>
    <t>прокладка внутренних трубопроводов водоснабжения и отопления из полипропиленовых труб:диам. 20мм</t>
  </si>
  <si>
    <t xml:space="preserve">ремонт штукатурки внутренних стен </t>
  </si>
  <si>
    <t>окраска водно-дисперсионными акриловыми составами улучшенная по штукатурке стен</t>
  </si>
  <si>
    <t>окраска водно-дисперсионными акриловыми составами улучшенная по штукатурке потолков</t>
  </si>
  <si>
    <t>улучшенная  масляная окраска ранее окрашенных дверей за 2 раза с расчисткой старой краски до 10%</t>
  </si>
  <si>
    <t>окраска масляными составами ранее окрашенных больших металлических поверхностей(кроме крыш) за 2 раза</t>
  </si>
  <si>
    <t>окраска масляными составами ранее окрашенных металлических решеток и оград без рельефа за 2 раза</t>
  </si>
  <si>
    <t>окраска масляными составами ранее окрашенных поверхностей труб стальных за 2 раза</t>
  </si>
  <si>
    <t>смена стекол толщиной 4-6мм при площади стекол до 0,25м2</t>
  </si>
  <si>
    <t>ремонт и окраска дверей (восстановление фурнитуры и остекления) шпингалеты</t>
  </si>
  <si>
    <t>смена сгонов у трубопроводов диам. до 20мм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</si>
  <si>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диам.63мм</t>
  </si>
  <si>
    <t>прокладка внутренних трубпроводов водоснабжения и отопления из полипропиленовых труб:диам. 63мм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</si>
  <si>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</si>
  <si>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4  на 2024 г.
</t>
  </si>
  <si>
    <t>коврик влаговпитывающий</t>
  </si>
  <si>
    <t>т</t>
  </si>
  <si>
    <t>изготовление люка в подвал</t>
  </si>
  <si>
    <t>установка люка</t>
  </si>
  <si>
    <t>ремонт металлических лестничных решеток</t>
  </si>
  <si>
    <t>укрепление оконных и дверных коробок без конопатки(лючки слаботочки)</t>
  </si>
  <si>
    <t>демонтаж дверных коробок широких в каменных стенах выправка,укрепление и пристрожка четвертей</t>
  </si>
  <si>
    <t>кор</t>
  </si>
  <si>
    <t>ремонт дверных коробок широких в каменных стенах выправка,укрепление и прстрожка четвертей</t>
  </si>
  <si>
    <t xml:space="preserve">установка и крепление наличников </t>
  </si>
  <si>
    <t>расчистка поверхностей шпателем,щетками от старых покрасок потолков, стен</t>
  </si>
  <si>
    <t>улучшенная масляная окраска ранее окрашенных стен за 2 раза с расчисткой старой краски до 10%(сапожок)</t>
  </si>
  <si>
    <t>окраска металлических деталей мусоропровода в 9-ти этажных зданиях с пятью клапанами</t>
  </si>
  <si>
    <t>мусоропровод</t>
  </si>
  <si>
    <t>простая окраска ранее окрашенных стен с подготовкой и расчисткой старой краски до 10%(торцы лестничных маршей)</t>
  </si>
  <si>
    <t>улучшенная масляная окраска ранее окрашенных фасадов с расчисткой старой краски до 10%</t>
  </si>
  <si>
    <t>демонтаж светильников</t>
  </si>
  <si>
    <t>монтаж светильников</t>
  </si>
  <si>
    <t>короба пластмассовые шириной до 40мм</t>
  </si>
  <si>
    <t>короба пластмассовые шириной до 63мм</t>
  </si>
  <si>
    <t>Выполнение работ по герметизации межпанельных швов ( со вскрытием -94 п.м.,без вскрытия -45м.п.) кв №№ 71,106,107,142,143,214</t>
  </si>
  <si>
    <t>валка деревьев в городских условиях диам. до 300мм</t>
  </si>
  <si>
    <t>валка деревьев с вывозом веток контейнером</t>
  </si>
  <si>
    <t>дерева</t>
  </si>
  <si>
    <t>огрунтовка ранее окрашенных фасадов под окраску простых с земли и лесов</t>
  </si>
  <si>
    <t>простая масляная окраска ранее окрашенных фасадов без подготовки с расчисткой старой краски до 10% с земли и лесов</t>
  </si>
  <si>
    <t>заделка подвальных окон кирпичом</t>
  </si>
  <si>
    <t>валка деревьев с разделкой древесины на корню</t>
  </si>
  <si>
    <t>вывоз веток,листвы и порубочных остатков</t>
  </si>
  <si>
    <t>выполнение работы по утеплению квартиры</t>
  </si>
  <si>
    <t>выполненные работы по отделке оконных откосов</t>
  </si>
  <si>
    <t>ремонт мягкой кровли кв 105,106</t>
  </si>
  <si>
    <t>установка решеток на окна</t>
  </si>
  <si>
    <t>монтаж мелких конструкций массой до 10кг</t>
  </si>
  <si>
    <t>ремонт мягкой кровли кв.141,142</t>
  </si>
  <si>
    <t>ремонт мягкой кровли подъезд №6</t>
  </si>
  <si>
    <t>ремонт мягкой кровли кв34</t>
  </si>
  <si>
    <t>обшивка металлическим листом электрощита</t>
  </si>
  <si>
    <t>ремонт металлических ограждений средний</t>
  </si>
  <si>
    <t>смена дверных приборов :петди</t>
  </si>
  <si>
    <t>ремонт и восстановление уплотнения стыков прокладками ПРП в 1 ряд в стенах,оконных,дверных и балконных блоках насухо</t>
  </si>
  <si>
    <t>демонтаж почтовых ящиков</t>
  </si>
  <si>
    <t>монтаж почтовых ящиков</t>
  </si>
  <si>
    <t>усиление сварных швов наплавкой(ремонт контейнера)</t>
  </si>
  <si>
    <t>смена смывных бачков</t>
  </si>
  <si>
    <t>обрамление проемов угловой сталью</t>
  </si>
  <si>
    <t>ремонт кровли кв 177, 178</t>
  </si>
  <si>
    <t>окраска масляными составами ранее окрашенных металлических решеток и оград без рельефа за 1 раз</t>
  </si>
  <si>
    <t>окраска масляными составами ранее окрашенных поверхностей труб стальных за 1раз</t>
  </si>
  <si>
    <t>смена внутренних трубопроводов из стальных труб диаметром до 50мм</t>
  </si>
  <si>
    <t>ремонт дверных полотен со сменой брусков обвязки вертикальных с числом сопряжений 2</t>
  </si>
  <si>
    <t>окраска масляными составами ранее окрашенных металлических поверхностей площадью до 0, 25м2 за 1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</si>
</sst>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0" fontId="8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8"/>
  <sheetViews>
    <sheetView tabSelected="1" topLeftCell="D179" zoomScale="91" zoomScaleNormal="91" workbookViewId="0">
      <selection activeCell="J192" sqref="J19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11.85546875" style="1" bestFit="1" customWidth="1"/>
    <col min="12" max="12" width="10.7109375" style="1" bestFit="1" customWidth="1"/>
    <col min="13" max="16384" width="8.85546875" style="1"/>
  </cols>
  <sheetData>
    <row r="1" spans="1:12" ht="51.75" customHeight="1" x14ac:dyDescent="0.25">
      <c r="I1" s="93" t="s">
        <v>98</v>
      </c>
      <c r="J1" s="93"/>
    </row>
    <row r="2" spans="1:12" ht="70.5" customHeight="1" x14ac:dyDescent="0.25">
      <c r="A2" s="87" t="s">
        <v>193</v>
      </c>
      <c r="B2" s="88"/>
      <c r="C2" s="88"/>
      <c r="D2" s="88"/>
      <c r="E2" s="88"/>
      <c r="F2" s="88"/>
      <c r="G2" s="88"/>
      <c r="H2" s="88"/>
      <c r="I2" s="88"/>
      <c r="J2" s="88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94" t="s">
        <v>89</v>
      </c>
      <c r="B4" s="95"/>
      <c r="C4" s="95"/>
      <c r="D4" s="95"/>
      <c r="E4" s="95"/>
      <c r="F4" s="95"/>
      <c r="G4" s="96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164</v>
      </c>
      <c r="E5" s="41"/>
      <c r="F5" s="41">
        <f>8</f>
        <v>8</v>
      </c>
      <c r="G5" s="13" t="s">
        <v>113</v>
      </c>
      <c r="H5" s="44">
        <f>(281.6+108.2)/F5</f>
        <v>48.725000000000001</v>
      </c>
      <c r="I5" s="58">
        <f>F5*H5</f>
        <v>389.8</v>
      </c>
      <c r="J5" s="13" t="s">
        <v>123</v>
      </c>
      <c r="K5" s="2"/>
      <c r="L5" s="2"/>
    </row>
    <row r="6" spans="1:12" ht="18.75" x14ac:dyDescent="0.3">
      <c r="A6" s="6"/>
      <c r="B6" s="5"/>
      <c r="C6" s="4"/>
      <c r="D6" s="15" t="s">
        <v>120</v>
      </c>
      <c r="E6" s="41"/>
      <c r="F6" s="41">
        <f>120</f>
        <v>120</v>
      </c>
      <c r="G6" s="13" t="s">
        <v>113</v>
      </c>
      <c r="H6" s="44">
        <f>(4231.4+3288)/F6</f>
        <v>62.661666666666662</v>
      </c>
      <c r="I6" s="66">
        <f>F6*H6</f>
        <v>7519.4</v>
      </c>
      <c r="J6" s="13" t="s">
        <v>121</v>
      </c>
      <c r="K6" s="2"/>
      <c r="L6" s="2"/>
    </row>
    <row r="7" spans="1:12" ht="18.75" x14ac:dyDescent="0.3">
      <c r="A7" s="6"/>
      <c r="B7" s="5"/>
      <c r="C7" s="4"/>
      <c r="D7" s="15" t="s">
        <v>225</v>
      </c>
      <c r="E7" s="41"/>
      <c r="F7" s="41">
        <v>1</v>
      </c>
      <c r="G7" s="13" t="s">
        <v>143</v>
      </c>
      <c r="H7" s="44">
        <f>304888/F7</f>
        <v>304888</v>
      </c>
      <c r="I7" s="66">
        <f>F7*H7</f>
        <v>304888</v>
      </c>
      <c r="J7" s="13" t="s">
        <v>123</v>
      </c>
      <c r="K7" s="2"/>
      <c r="L7" s="2"/>
    </row>
    <row r="8" spans="1:12" ht="18.75" x14ac:dyDescent="0.3">
      <c r="A8" s="6"/>
      <c r="B8" s="5"/>
      <c r="C8" s="4"/>
      <c r="D8" s="15" t="s">
        <v>228</v>
      </c>
      <c r="E8" s="41"/>
      <c r="F8" s="41">
        <v>1</v>
      </c>
      <c r="G8" s="13" t="s">
        <v>143</v>
      </c>
      <c r="H8" s="44">
        <f>222755/F8</f>
        <v>222755</v>
      </c>
      <c r="I8" s="66">
        <f>F8*H8</f>
        <v>222755</v>
      </c>
      <c r="J8" s="13" t="s">
        <v>118</v>
      </c>
      <c r="K8" s="2"/>
      <c r="L8" s="2"/>
    </row>
    <row r="9" spans="1:12" ht="18.75" x14ac:dyDescent="0.3">
      <c r="A9" s="6"/>
      <c r="B9" s="5"/>
      <c r="C9" s="4"/>
      <c r="D9" s="15" t="s">
        <v>229</v>
      </c>
      <c r="E9" s="41"/>
      <c r="F9" s="41">
        <v>1</v>
      </c>
      <c r="G9" s="13" t="s">
        <v>143</v>
      </c>
      <c r="H9" s="44">
        <v>418151</v>
      </c>
      <c r="I9" s="66">
        <f t="shared" ref="I9:I10" si="0">F9*H9</f>
        <v>418151</v>
      </c>
      <c r="J9" s="13" t="s">
        <v>118</v>
      </c>
      <c r="K9" s="2"/>
      <c r="L9" s="2"/>
    </row>
    <row r="10" spans="1:12" ht="18.75" x14ac:dyDescent="0.3">
      <c r="A10" s="6"/>
      <c r="B10" s="5"/>
      <c r="C10" s="4"/>
      <c r="D10" s="15" t="s">
        <v>230</v>
      </c>
      <c r="E10" s="41"/>
      <c r="F10" s="41">
        <f>1</f>
        <v>1</v>
      </c>
      <c r="G10" s="13" t="s">
        <v>143</v>
      </c>
      <c r="H10" s="44">
        <f>105800</f>
        <v>105800</v>
      </c>
      <c r="I10" s="66">
        <f t="shared" si="0"/>
        <v>105800</v>
      </c>
      <c r="J10" s="13" t="s">
        <v>118</v>
      </c>
      <c r="K10" s="2"/>
      <c r="L10" s="2"/>
    </row>
    <row r="11" spans="1:12" ht="18.75" x14ac:dyDescent="0.3">
      <c r="A11" s="6"/>
      <c r="B11" s="5"/>
      <c r="C11" s="4"/>
      <c r="D11" s="15" t="s">
        <v>240</v>
      </c>
      <c r="E11" s="41"/>
      <c r="F11" s="41">
        <v>1</v>
      </c>
      <c r="G11" s="13" t="s">
        <v>143</v>
      </c>
      <c r="H11" s="44">
        <f>218730/1</f>
        <v>218730</v>
      </c>
      <c r="I11" s="66">
        <f>F11*H11</f>
        <v>218730</v>
      </c>
      <c r="J11" s="13" t="s">
        <v>121</v>
      </c>
      <c r="K11" s="2"/>
      <c r="L11" s="2"/>
    </row>
    <row r="12" spans="1:12" ht="48.75" customHeight="1" x14ac:dyDescent="0.3">
      <c r="A12" s="6" t="s">
        <v>1</v>
      </c>
      <c r="B12" s="5"/>
      <c r="C12" s="4"/>
      <c r="D12" s="15" t="s">
        <v>149</v>
      </c>
      <c r="E12" s="41"/>
      <c r="F12" s="41"/>
      <c r="G12" s="13" t="s">
        <v>30</v>
      </c>
      <c r="H12" s="41"/>
      <c r="I12" s="56" t="s">
        <v>140</v>
      </c>
      <c r="J12" s="13"/>
      <c r="K12" s="2"/>
      <c r="L12" s="2"/>
    </row>
    <row r="13" spans="1:12" ht="34.5" customHeight="1" x14ac:dyDescent="0.3">
      <c r="A13" s="6" t="s">
        <v>2</v>
      </c>
      <c r="B13" s="5"/>
      <c r="C13" s="4"/>
      <c r="D13" s="15" t="s">
        <v>39</v>
      </c>
      <c r="E13" s="41"/>
      <c r="F13" s="41"/>
      <c r="G13" s="13" t="s">
        <v>30</v>
      </c>
      <c r="H13" s="41"/>
      <c r="I13" s="56" t="s">
        <v>140</v>
      </c>
      <c r="J13" s="13"/>
      <c r="K13" s="2"/>
      <c r="L13" s="2"/>
    </row>
    <row r="14" spans="1:12" ht="25.5" customHeight="1" x14ac:dyDescent="0.3">
      <c r="A14" s="7" t="s">
        <v>3</v>
      </c>
      <c r="B14" s="5"/>
      <c r="C14" s="4"/>
      <c r="D14" s="15" t="s">
        <v>38</v>
      </c>
      <c r="E14" s="41"/>
      <c r="F14" s="41"/>
      <c r="G14" s="13" t="s">
        <v>113</v>
      </c>
      <c r="H14" s="41"/>
      <c r="I14" s="56"/>
      <c r="J14" s="13"/>
      <c r="K14" s="2"/>
      <c r="L14" s="2"/>
    </row>
    <row r="15" spans="1:12" ht="32.25" x14ac:dyDescent="0.3">
      <c r="A15" s="6" t="s">
        <v>4</v>
      </c>
      <c r="B15" s="5"/>
      <c r="C15" s="4"/>
      <c r="D15" s="15" t="s">
        <v>37</v>
      </c>
      <c r="E15" s="41" t="s">
        <v>140</v>
      </c>
      <c r="F15" s="41" t="s">
        <v>140</v>
      </c>
      <c r="G15" s="13" t="s">
        <v>30</v>
      </c>
      <c r="H15" s="41"/>
      <c r="I15" s="56" t="s">
        <v>140</v>
      </c>
      <c r="J15" s="13"/>
      <c r="K15" s="2"/>
      <c r="L15" s="2"/>
    </row>
    <row r="16" spans="1:12" ht="18.75" x14ac:dyDescent="0.3">
      <c r="A16" s="6" t="s">
        <v>5</v>
      </c>
      <c r="B16" s="5"/>
      <c r="C16" s="4"/>
      <c r="D16" s="4" t="s">
        <v>88</v>
      </c>
      <c r="E16" s="41" t="s">
        <v>140</v>
      </c>
      <c r="F16" s="41" t="s">
        <v>140</v>
      </c>
      <c r="G16" s="13" t="s">
        <v>31</v>
      </c>
      <c r="H16" s="41"/>
      <c r="I16" s="56" t="s">
        <v>140</v>
      </c>
      <c r="J16" s="13"/>
      <c r="K16" s="2"/>
      <c r="L16" s="2"/>
    </row>
    <row r="17" spans="1:12" ht="18.75" x14ac:dyDescent="0.3">
      <c r="A17" s="6"/>
      <c r="B17" s="5"/>
      <c r="C17" s="4"/>
      <c r="D17" s="4" t="s">
        <v>174</v>
      </c>
      <c r="E17" s="41"/>
      <c r="F17" s="41"/>
      <c r="G17" s="13" t="s">
        <v>173</v>
      </c>
      <c r="H17" s="44"/>
      <c r="I17" s="56"/>
      <c r="J17" s="13"/>
      <c r="K17" s="2"/>
      <c r="L17" s="2"/>
    </row>
    <row r="18" spans="1:12" ht="37.5" x14ac:dyDescent="0.3">
      <c r="A18" s="6" t="s">
        <v>6</v>
      </c>
      <c r="B18" s="5"/>
      <c r="C18" s="4"/>
      <c r="D18" s="4" t="s">
        <v>36</v>
      </c>
      <c r="E18" s="41" t="s">
        <v>140</v>
      </c>
      <c r="F18" s="41"/>
      <c r="G18" s="14" t="s">
        <v>31</v>
      </c>
      <c r="H18" s="41"/>
      <c r="I18" s="56" t="s">
        <v>140</v>
      </c>
      <c r="J18" s="13"/>
      <c r="K18" s="2"/>
      <c r="L18" s="2"/>
    </row>
    <row r="19" spans="1:12" ht="43.5" customHeight="1" x14ac:dyDescent="0.3">
      <c r="A19" s="6" t="s">
        <v>64</v>
      </c>
      <c r="B19" s="5"/>
      <c r="C19" s="4"/>
      <c r="D19" s="15" t="s">
        <v>53</v>
      </c>
      <c r="E19" s="41" t="s">
        <v>140</v>
      </c>
      <c r="F19" s="41" t="s">
        <v>140</v>
      </c>
      <c r="G19" s="13" t="s">
        <v>30</v>
      </c>
      <c r="H19" s="41"/>
      <c r="I19" s="56" t="s">
        <v>140</v>
      </c>
      <c r="J19" s="13"/>
      <c r="L19" s="2"/>
    </row>
    <row r="20" spans="1:12" ht="43.5" customHeight="1" x14ac:dyDescent="0.3">
      <c r="A20" s="6" t="s">
        <v>7</v>
      </c>
      <c r="B20" s="5"/>
      <c r="C20" s="4"/>
      <c r="D20" s="15" t="s">
        <v>34</v>
      </c>
      <c r="E20" s="41" t="s">
        <v>140</v>
      </c>
      <c r="F20" s="41" t="s">
        <v>140</v>
      </c>
      <c r="G20" s="13" t="s">
        <v>30</v>
      </c>
      <c r="H20" s="41"/>
      <c r="I20" s="56" t="s">
        <v>140</v>
      </c>
      <c r="J20" s="13"/>
      <c r="K20" s="2"/>
      <c r="L20" s="2"/>
    </row>
    <row r="21" spans="1:12" ht="27" customHeight="1" x14ac:dyDescent="0.3">
      <c r="A21" s="28"/>
      <c r="B21" s="22"/>
      <c r="C21" s="22"/>
      <c r="D21" s="30"/>
      <c r="E21" s="45"/>
      <c r="F21" s="45"/>
      <c r="G21" s="31"/>
      <c r="H21" s="41"/>
      <c r="I21" s="58">
        <f>SUM(I5:I20)</f>
        <v>1278233.2</v>
      </c>
      <c r="J21" s="13"/>
      <c r="K21" s="2"/>
      <c r="L21" s="2"/>
    </row>
    <row r="22" spans="1:12" ht="18.75" x14ac:dyDescent="0.3">
      <c r="A22" s="94" t="s">
        <v>57</v>
      </c>
      <c r="B22" s="95"/>
      <c r="C22" s="95"/>
      <c r="D22" s="95"/>
      <c r="E22" s="95"/>
      <c r="F22" s="95"/>
      <c r="G22" s="96"/>
      <c r="H22" s="14"/>
      <c r="I22" s="68"/>
      <c r="J22" s="13"/>
      <c r="L22" s="2"/>
    </row>
    <row r="23" spans="1:12" ht="18.75" x14ac:dyDescent="0.3">
      <c r="A23" s="6" t="s">
        <v>19</v>
      </c>
      <c r="B23" s="5"/>
      <c r="C23" s="4"/>
      <c r="D23" s="4" t="s">
        <v>97</v>
      </c>
      <c r="E23" s="41" t="s">
        <v>140</v>
      </c>
      <c r="F23" s="41" t="s">
        <v>140</v>
      </c>
      <c r="G23" s="14" t="s">
        <v>55</v>
      </c>
      <c r="H23" s="41"/>
      <c r="I23" s="56" t="s">
        <v>140</v>
      </c>
      <c r="J23" s="13"/>
      <c r="L23" s="2"/>
    </row>
    <row r="24" spans="1:12" ht="18.75" x14ac:dyDescent="0.3">
      <c r="A24" s="6" t="s">
        <v>13</v>
      </c>
      <c r="B24" s="5"/>
      <c r="C24" s="4"/>
      <c r="D24" s="4" t="s">
        <v>42</v>
      </c>
      <c r="E24" s="41"/>
      <c r="F24" s="41"/>
      <c r="G24" s="14" t="s">
        <v>54</v>
      </c>
      <c r="H24" s="41"/>
      <c r="I24" s="56"/>
      <c r="J24" s="13"/>
      <c r="L24" s="2"/>
    </row>
    <row r="25" spans="1:12" ht="18.75" x14ac:dyDescent="0.3">
      <c r="A25" s="6" t="s">
        <v>9</v>
      </c>
      <c r="B25" s="5"/>
      <c r="C25" s="4"/>
      <c r="D25" s="4" t="s">
        <v>35</v>
      </c>
      <c r="E25" s="41"/>
      <c r="F25" s="41"/>
      <c r="G25" s="14" t="s">
        <v>54</v>
      </c>
      <c r="H25" s="41"/>
      <c r="I25" s="56" t="s">
        <v>140</v>
      </c>
      <c r="J25" s="13"/>
      <c r="K25" s="2"/>
      <c r="L25" s="2"/>
    </row>
    <row r="26" spans="1:12" ht="32.25" x14ac:dyDescent="0.3">
      <c r="A26" s="6"/>
      <c r="B26" s="5"/>
      <c r="C26" s="4"/>
      <c r="D26" s="15" t="s">
        <v>157</v>
      </c>
      <c r="E26" s="41"/>
      <c r="F26" s="41">
        <v>15</v>
      </c>
      <c r="G26" s="13" t="s">
        <v>113</v>
      </c>
      <c r="H26" s="41">
        <f>31260/F26</f>
        <v>2084</v>
      </c>
      <c r="I26" s="66">
        <f>F26*H26</f>
        <v>31260</v>
      </c>
      <c r="J26" s="13" t="s">
        <v>123</v>
      </c>
      <c r="K26" s="2"/>
      <c r="L26" s="2"/>
    </row>
    <row r="27" spans="1:12" ht="32.25" x14ac:dyDescent="0.3">
      <c r="A27" s="6"/>
      <c r="B27" s="5"/>
      <c r="C27" s="4"/>
      <c r="D27" s="15" t="s">
        <v>218</v>
      </c>
      <c r="E27" s="41"/>
      <c r="F27" s="41">
        <v>171</v>
      </c>
      <c r="G27" s="13" t="s">
        <v>113</v>
      </c>
      <c r="H27" s="44">
        <f>14860.4/F27</f>
        <v>86.902923976608179</v>
      </c>
      <c r="I27" s="66">
        <f>F27*H27</f>
        <v>14860.399999999998</v>
      </c>
      <c r="J27" s="13" t="s">
        <v>123</v>
      </c>
      <c r="K27" s="2"/>
      <c r="L27" s="2"/>
    </row>
    <row r="28" spans="1:12" ht="48" x14ac:dyDescent="0.3">
      <c r="A28" s="6"/>
      <c r="B28" s="5"/>
      <c r="C28" s="4"/>
      <c r="D28" s="15" t="s">
        <v>219</v>
      </c>
      <c r="E28" s="41"/>
      <c r="F28" s="41">
        <v>171</v>
      </c>
      <c r="G28" s="13" t="s">
        <v>113</v>
      </c>
      <c r="H28" s="44">
        <f>28365.4/F28</f>
        <v>165.87953216374271</v>
      </c>
      <c r="I28" s="66">
        <f>F28*H28</f>
        <v>28365.400000000005</v>
      </c>
      <c r="J28" s="13" t="s">
        <v>123</v>
      </c>
      <c r="K28" s="2"/>
      <c r="L28" s="2"/>
    </row>
    <row r="29" spans="1:12" ht="18.75" x14ac:dyDescent="0.3">
      <c r="A29" s="6" t="s">
        <v>10</v>
      </c>
      <c r="B29" s="5"/>
      <c r="C29" s="4"/>
      <c r="D29" s="4" t="s">
        <v>33</v>
      </c>
      <c r="E29" s="41"/>
      <c r="F29" s="41"/>
      <c r="G29" s="14" t="s">
        <v>54</v>
      </c>
      <c r="H29" s="41"/>
      <c r="I29" s="56" t="s">
        <v>140</v>
      </c>
      <c r="J29" s="13"/>
      <c r="K29" s="2"/>
      <c r="L29" s="2"/>
    </row>
    <row r="30" spans="1:12" ht="18.75" x14ac:dyDescent="0.3">
      <c r="A30" s="6" t="s">
        <v>11</v>
      </c>
      <c r="B30" s="5"/>
      <c r="C30" s="4"/>
      <c r="D30" s="4" t="s">
        <v>40</v>
      </c>
      <c r="E30" s="41"/>
      <c r="F30" s="41"/>
      <c r="G30" s="14" t="s">
        <v>54</v>
      </c>
      <c r="H30" s="41"/>
      <c r="I30" s="56" t="s">
        <v>140</v>
      </c>
      <c r="J30" s="13"/>
      <c r="K30" s="2"/>
      <c r="L30" s="2"/>
    </row>
    <row r="31" spans="1:12" ht="18.75" x14ac:dyDescent="0.3">
      <c r="A31" s="6"/>
      <c r="B31" s="5"/>
      <c r="C31" s="4"/>
      <c r="D31" s="4" t="s">
        <v>220</v>
      </c>
      <c r="E31" s="41"/>
      <c r="F31" s="41">
        <f>1.5</f>
        <v>1.5</v>
      </c>
      <c r="G31" s="14" t="s">
        <v>113</v>
      </c>
      <c r="H31" s="44">
        <f>8612.2/F31</f>
        <v>5741.4666666666672</v>
      </c>
      <c r="I31" s="66">
        <f>F31*H31</f>
        <v>8612.2000000000007</v>
      </c>
      <c r="J31" s="13" t="s">
        <v>123</v>
      </c>
      <c r="K31" s="2"/>
      <c r="L31" s="2"/>
    </row>
    <row r="32" spans="1:12" ht="18.75" x14ac:dyDescent="0.3">
      <c r="A32" s="6"/>
      <c r="B32" s="5"/>
      <c r="C32" s="4"/>
      <c r="D32" s="4" t="s">
        <v>226</v>
      </c>
      <c r="E32" s="41"/>
      <c r="F32" s="41">
        <f>10</f>
        <v>10</v>
      </c>
      <c r="G32" s="14" t="s">
        <v>173</v>
      </c>
      <c r="H32" s="44">
        <f>2374/F32</f>
        <v>237.4</v>
      </c>
      <c r="I32" s="66">
        <f>F32*H32</f>
        <v>2374</v>
      </c>
      <c r="J32" s="13" t="s">
        <v>118</v>
      </c>
      <c r="K32" s="2"/>
      <c r="L32" s="2"/>
    </row>
    <row r="33" spans="1:12" ht="18.75" x14ac:dyDescent="0.3">
      <c r="A33" s="6" t="s">
        <v>8</v>
      </c>
      <c r="B33" s="5"/>
      <c r="C33" s="4"/>
      <c r="D33" s="4" t="s">
        <v>32</v>
      </c>
      <c r="E33" s="41"/>
      <c r="F33" s="41"/>
      <c r="G33" s="13" t="s">
        <v>30</v>
      </c>
      <c r="H33" s="41"/>
      <c r="I33" s="56"/>
      <c r="J33" s="13"/>
      <c r="K33" s="2"/>
      <c r="L33" s="2"/>
    </row>
    <row r="34" spans="1:12" ht="24.75" customHeight="1" x14ac:dyDescent="0.3">
      <c r="A34" s="6" t="s">
        <v>12</v>
      </c>
      <c r="B34" s="5"/>
      <c r="C34" s="4"/>
      <c r="D34" s="15" t="s">
        <v>41</v>
      </c>
      <c r="E34" s="41"/>
      <c r="F34" s="41"/>
      <c r="G34" s="14" t="s">
        <v>31</v>
      </c>
      <c r="H34" s="41"/>
      <c r="I34" s="56"/>
      <c r="J34" s="13"/>
      <c r="K34" s="2"/>
      <c r="L34" s="2"/>
    </row>
    <row r="35" spans="1:12" ht="18.75" x14ac:dyDescent="0.3">
      <c r="A35" s="6" t="s">
        <v>56</v>
      </c>
      <c r="B35" s="5"/>
      <c r="C35" s="4"/>
      <c r="D35" s="15" t="s">
        <v>163</v>
      </c>
      <c r="E35" s="41"/>
      <c r="F35" s="41"/>
      <c r="G35" s="14" t="s">
        <v>30</v>
      </c>
      <c r="H35" s="41"/>
      <c r="I35" s="56"/>
      <c r="J35" s="13"/>
      <c r="L35" s="2"/>
    </row>
    <row r="36" spans="1:12" ht="48" x14ac:dyDescent="0.3">
      <c r="A36" s="6"/>
      <c r="B36" s="5"/>
      <c r="C36" s="4"/>
      <c r="D36" s="15" t="s">
        <v>209</v>
      </c>
      <c r="E36" s="41"/>
      <c r="F36" s="41">
        <f>7</f>
        <v>7</v>
      </c>
      <c r="G36" s="14" t="s">
        <v>113</v>
      </c>
      <c r="H36" s="44">
        <f>2480/F36</f>
        <v>354.28571428571428</v>
      </c>
      <c r="I36" s="66">
        <f>F36*H36</f>
        <v>2480</v>
      </c>
      <c r="J36" s="13" t="s">
        <v>146</v>
      </c>
      <c r="L36" s="2"/>
    </row>
    <row r="37" spans="1:12" ht="33" customHeight="1" x14ac:dyDescent="0.3">
      <c r="A37" s="6"/>
      <c r="B37" s="5"/>
      <c r="C37" s="4"/>
      <c r="D37" s="15" t="s">
        <v>223</v>
      </c>
      <c r="E37" s="41"/>
      <c r="F37" s="41">
        <f>64.4</f>
        <v>64.400000000000006</v>
      </c>
      <c r="G37" s="14" t="s">
        <v>113</v>
      </c>
      <c r="H37" s="41">
        <f>251160/F37</f>
        <v>3899.9999999999995</v>
      </c>
      <c r="I37" s="80">
        <f>F37*H37</f>
        <v>251160</v>
      </c>
      <c r="J37" s="13" t="s">
        <v>123</v>
      </c>
      <c r="L37" s="2"/>
    </row>
    <row r="38" spans="1:12" ht="32.25" x14ac:dyDescent="0.3">
      <c r="A38" s="6" t="s">
        <v>58</v>
      </c>
      <c r="B38" s="5"/>
      <c r="C38" s="4"/>
      <c r="D38" s="15" t="s">
        <v>96</v>
      </c>
      <c r="E38" s="41" t="s">
        <v>140</v>
      </c>
      <c r="F38" s="41" t="s">
        <v>140</v>
      </c>
      <c r="G38" s="14" t="s">
        <v>54</v>
      </c>
      <c r="H38" s="41"/>
      <c r="I38" s="56" t="s">
        <v>140</v>
      </c>
      <c r="J38" s="13"/>
      <c r="L38" s="2"/>
    </row>
    <row r="39" spans="1:12" ht="32.25" x14ac:dyDescent="0.3">
      <c r="A39" s="6" t="s">
        <v>14</v>
      </c>
      <c r="B39" s="5"/>
      <c r="C39" s="4"/>
      <c r="D39" s="15" t="s">
        <v>95</v>
      </c>
      <c r="E39" s="41" t="s">
        <v>140</v>
      </c>
      <c r="F39" s="41" t="s">
        <v>140</v>
      </c>
      <c r="G39" s="14" t="s">
        <v>55</v>
      </c>
      <c r="H39" s="41"/>
      <c r="I39" s="56" t="s">
        <v>140</v>
      </c>
      <c r="J39" s="13"/>
      <c r="L39" s="2"/>
    </row>
    <row r="40" spans="1:12" ht="18.75" x14ac:dyDescent="0.3">
      <c r="A40" s="6" t="s">
        <v>15</v>
      </c>
      <c r="B40" s="5"/>
      <c r="C40" s="4"/>
      <c r="D40" s="4" t="s">
        <v>43</v>
      </c>
      <c r="E40" s="41" t="s">
        <v>140</v>
      </c>
      <c r="F40" s="41" t="s">
        <v>140</v>
      </c>
      <c r="G40" s="14" t="s">
        <v>55</v>
      </c>
      <c r="H40" s="41"/>
      <c r="I40" s="56" t="s">
        <v>140</v>
      </c>
      <c r="J40" s="13"/>
      <c r="L40" s="2"/>
    </row>
    <row r="41" spans="1:12" ht="18.75" x14ac:dyDescent="0.3">
      <c r="A41" s="6" t="s">
        <v>16</v>
      </c>
      <c r="B41" s="5"/>
      <c r="C41" s="4"/>
      <c r="D41" s="4" t="s">
        <v>44</v>
      </c>
      <c r="E41" s="41" t="s">
        <v>140</v>
      </c>
      <c r="F41" s="41" t="s">
        <v>140</v>
      </c>
      <c r="G41" s="14" t="s">
        <v>54</v>
      </c>
      <c r="H41" s="41"/>
      <c r="I41" s="56" t="s">
        <v>140</v>
      </c>
      <c r="J41" s="13"/>
      <c r="L41" s="2"/>
    </row>
    <row r="42" spans="1:12" ht="18.75" x14ac:dyDescent="0.3">
      <c r="A42" s="6" t="s">
        <v>17</v>
      </c>
      <c r="B42" s="5"/>
      <c r="C42" s="4"/>
      <c r="D42" s="4" t="s">
        <v>45</v>
      </c>
      <c r="E42" s="41"/>
      <c r="F42" s="41"/>
      <c r="G42" s="13" t="s">
        <v>30</v>
      </c>
      <c r="H42" s="41"/>
      <c r="I42" s="56"/>
      <c r="J42" s="13"/>
      <c r="L42" s="2"/>
    </row>
    <row r="43" spans="1:12" ht="47.25" customHeight="1" x14ac:dyDescent="0.3">
      <c r="A43" s="6"/>
      <c r="B43" s="5"/>
      <c r="C43" s="4"/>
      <c r="D43" s="15" t="s">
        <v>214</v>
      </c>
      <c r="E43" s="41"/>
      <c r="F43" s="41">
        <v>1</v>
      </c>
      <c r="G43" s="13" t="s">
        <v>143</v>
      </c>
      <c r="H43" s="41">
        <f>75744/F43</f>
        <v>75744</v>
      </c>
      <c r="I43" s="66">
        <f>F43*H43</f>
        <v>75744</v>
      </c>
      <c r="J43" s="13" t="s">
        <v>118</v>
      </c>
      <c r="L43" s="2"/>
    </row>
    <row r="44" spans="1:12" ht="18.75" x14ac:dyDescent="0.3">
      <c r="A44" s="6" t="s">
        <v>18</v>
      </c>
      <c r="B44" s="5"/>
      <c r="C44" s="4"/>
      <c r="D44" s="4" t="s">
        <v>46</v>
      </c>
      <c r="E44" s="41" t="s">
        <v>140</v>
      </c>
      <c r="F44" s="41" t="s">
        <v>140</v>
      </c>
      <c r="G44" s="14" t="s">
        <v>55</v>
      </c>
      <c r="H44" s="41"/>
      <c r="I44" s="56"/>
      <c r="J44" s="13"/>
      <c r="L44" s="2"/>
    </row>
    <row r="45" spans="1:12" ht="18.75" x14ac:dyDescent="0.3">
      <c r="A45" s="28"/>
      <c r="B45" s="22"/>
      <c r="C45" s="22"/>
      <c r="D45" s="22"/>
      <c r="E45" s="45"/>
      <c r="F45" s="45"/>
      <c r="G45" s="12"/>
      <c r="H45" s="41"/>
      <c r="I45" s="58">
        <f>SUM(I24:I44)</f>
        <v>414856</v>
      </c>
      <c r="J45" s="13"/>
      <c r="L45" s="2"/>
    </row>
    <row r="46" spans="1:12" ht="24" customHeight="1" x14ac:dyDescent="0.3">
      <c r="A46" s="94" t="s">
        <v>87</v>
      </c>
      <c r="B46" s="95"/>
      <c r="C46" s="95"/>
      <c r="D46" s="95"/>
      <c r="E46" s="95"/>
      <c r="F46" s="95"/>
      <c r="G46" s="96"/>
      <c r="H46" s="14"/>
      <c r="I46" s="68"/>
      <c r="J46" s="13"/>
      <c r="L46" s="2"/>
    </row>
    <row r="47" spans="1:12" ht="32.25" customHeight="1" x14ac:dyDescent="0.3">
      <c r="A47" s="6" t="s">
        <v>50</v>
      </c>
      <c r="B47" s="5"/>
      <c r="C47" s="4"/>
      <c r="D47" s="15" t="s">
        <v>188</v>
      </c>
      <c r="E47" s="32"/>
      <c r="F47" s="13">
        <f>2</f>
        <v>2</v>
      </c>
      <c r="G47" s="38" t="s">
        <v>31</v>
      </c>
      <c r="H47" s="33">
        <f>2958.4/F47</f>
        <v>1479.2</v>
      </c>
      <c r="I47" s="65">
        <f>F47*H47</f>
        <v>2958.4</v>
      </c>
      <c r="J47" s="13" t="s">
        <v>121</v>
      </c>
      <c r="L47" s="2"/>
    </row>
    <row r="48" spans="1:12" ht="32.25" customHeight="1" x14ac:dyDescent="0.3">
      <c r="A48" s="6"/>
      <c r="B48" s="5"/>
      <c r="C48" s="4"/>
      <c r="D48" s="15" t="s">
        <v>233</v>
      </c>
      <c r="E48" s="32"/>
      <c r="F48" s="31">
        <f>3</f>
        <v>3</v>
      </c>
      <c r="G48" s="38" t="s">
        <v>31</v>
      </c>
      <c r="H48" s="54">
        <f>3192/F48</f>
        <v>1064</v>
      </c>
      <c r="I48" s="67">
        <f t="shared" ref="I48:I49" si="1">F48*H48</f>
        <v>3192</v>
      </c>
      <c r="J48" s="13" t="s">
        <v>121</v>
      </c>
      <c r="L48" s="2"/>
    </row>
    <row r="49" spans="1:12" ht="32.25" customHeight="1" x14ac:dyDescent="0.3">
      <c r="A49" s="6"/>
      <c r="B49" s="5"/>
      <c r="C49" s="4"/>
      <c r="D49" s="15" t="s">
        <v>227</v>
      </c>
      <c r="E49" s="32"/>
      <c r="F49" s="31">
        <f>5</f>
        <v>5</v>
      </c>
      <c r="G49" s="38" t="s">
        <v>173</v>
      </c>
      <c r="H49" s="31">
        <f>1009/F49</f>
        <v>201.8</v>
      </c>
      <c r="I49" s="67">
        <f t="shared" si="1"/>
        <v>1009</v>
      </c>
      <c r="J49" s="13" t="s">
        <v>121</v>
      </c>
      <c r="L49" s="2"/>
    </row>
    <row r="50" spans="1:12" ht="52.5" customHeight="1" x14ac:dyDescent="0.3">
      <c r="A50" s="6"/>
      <c r="B50" s="5"/>
      <c r="C50" s="4"/>
      <c r="D50" s="15" t="s">
        <v>200</v>
      </c>
      <c r="E50" s="41"/>
      <c r="F50" s="41">
        <v>1</v>
      </c>
      <c r="G50" s="13" t="s">
        <v>201</v>
      </c>
      <c r="H50" s="41">
        <f>1682.6/F50</f>
        <v>1682.6</v>
      </c>
      <c r="I50" s="66">
        <f t="shared" ref="I50:I58" si="2">F50*H50</f>
        <v>1682.6</v>
      </c>
      <c r="J50" s="13" t="s">
        <v>118</v>
      </c>
      <c r="L50" s="2"/>
    </row>
    <row r="51" spans="1:12" ht="32.25" customHeight="1" x14ac:dyDescent="0.3">
      <c r="A51" s="6"/>
      <c r="B51" s="5"/>
      <c r="C51" s="4"/>
      <c r="D51" s="15" t="s">
        <v>203</v>
      </c>
      <c r="E51" s="41"/>
      <c r="F51" s="41">
        <f>1.6+2</f>
        <v>3.6</v>
      </c>
      <c r="G51" s="13" t="s">
        <v>30</v>
      </c>
      <c r="H51" s="44">
        <f>(220.8+285.2)/F51</f>
        <v>140.55555555555554</v>
      </c>
      <c r="I51" s="66">
        <f t="shared" si="2"/>
        <v>505.99999999999994</v>
      </c>
      <c r="J51" s="13" t="s">
        <v>118</v>
      </c>
      <c r="L51" s="2"/>
    </row>
    <row r="52" spans="1:12" ht="61.5" customHeight="1" x14ac:dyDescent="0.3">
      <c r="A52" s="6"/>
      <c r="B52" s="5"/>
      <c r="C52" s="4"/>
      <c r="D52" s="15" t="s">
        <v>183</v>
      </c>
      <c r="E52" s="41"/>
      <c r="F52" s="41">
        <f>5.76</f>
        <v>5.76</v>
      </c>
      <c r="G52" s="13" t="s">
        <v>113</v>
      </c>
      <c r="H52" s="44">
        <f>2626/F52</f>
        <v>455.90277777777777</v>
      </c>
      <c r="I52" s="66">
        <f t="shared" si="2"/>
        <v>2626</v>
      </c>
      <c r="J52" s="13" t="s">
        <v>118</v>
      </c>
      <c r="L52" s="2"/>
    </row>
    <row r="53" spans="1:12" ht="61.5" customHeight="1" x14ac:dyDescent="0.3">
      <c r="A53" s="6"/>
      <c r="B53" s="5"/>
      <c r="C53" s="4"/>
      <c r="D53" s="15" t="s">
        <v>184</v>
      </c>
      <c r="E53" s="41"/>
      <c r="F53" s="41">
        <f>18.3+7.2+9.06</f>
        <v>34.56</v>
      </c>
      <c r="G53" s="13" t="s">
        <v>113</v>
      </c>
      <c r="H53" s="44">
        <f>(3800.6+1493+1894.8)/F53</f>
        <v>207.99768518518519</v>
      </c>
      <c r="I53" s="66">
        <f t="shared" si="2"/>
        <v>7188.4000000000005</v>
      </c>
      <c r="J53" s="13" t="s">
        <v>118</v>
      </c>
      <c r="L53" s="2"/>
    </row>
    <row r="54" spans="1:12" ht="61.5" customHeight="1" x14ac:dyDescent="0.3">
      <c r="A54" s="6"/>
      <c r="B54" s="5"/>
      <c r="C54" s="4"/>
      <c r="D54" s="15" t="s">
        <v>199</v>
      </c>
      <c r="E54" s="41"/>
      <c r="F54" s="41">
        <v>18</v>
      </c>
      <c r="G54" s="13" t="s">
        <v>31</v>
      </c>
      <c r="H54" s="44">
        <f>4104.8/F54</f>
        <v>228.04444444444445</v>
      </c>
      <c r="I54" s="66">
        <f t="shared" si="2"/>
        <v>4104.8</v>
      </c>
      <c r="J54" s="13" t="s">
        <v>118</v>
      </c>
      <c r="L54" s="2"/>
    </row>
    <row r="55" spans="1:12" ht="61.5" customHeight="1" x14ac:dyDescent="0.3">
      <c r="A55" s="6"/>
      <c r="B55" s="5"/>
      <c r="C55" s="4"/>
      <c r="D55" s="15" t="s">
        <v>234</v>
      </c>
      <c r="E55" s="41"/>
      <c r="F55" s="41">
        <f>20</f>
        <v>20</v>
      </c>
      <c r="G55" s="13" t="s">
        <v>31</v>
      </c>
      <c r="H55" s="44">
        <f>5395.8/F55</f>
        <v>269.79000000000002</v>
      </c>
      <c r="I55" s="66">
        <f t="shared" si="2"/>
        <v>5395.8</v>
      </c>
      <c r="J55" s="13" t="s">
        <v>118</v>
      </c>
      <c r="L55" s="2"/>
    </row>
    <row r="56" spans="1:12" ht="61.5" customHeight="1" x14ac:dyDescent="0.3">
      <c r="A56" s="6"/>
      <c r="B56" s="5"/>
      <c r="C56" s="4"/>
      <c r="D56" s="15" t="s">
        <v>244</v>
      </c>
      <c r="E56" s="41"/>
      <c r="F56" s="41">
        <v>1</v>
      </c>
      <c r="G56" s="13" t="s">
        <v>31</v>
      </c>
      <c r="H56" s="44">
        <f>3666.8/F56</f>
        <v>3666.8</v>
      </c>
      <c r="I56" s="66">
        <f t="shared" si="2"/>
        <v>3666.8</v>
      </c>
      <c r="J56" s="13" t="s">
        <v>118</v>
      </c>
      <c r="L56" s="2"/>
    </row>
    <row r="57" spans="1:12" ht="61.5" customHeight="1" x14ac:dyDescent="0.3">
      <c r="A57" s="6"/>
      <c r="B57" s="5"/>
      <c r="C57" s="4"/>
      <c r="D57" s="15" t="s">
        <v>202</v>
      </c>
      <c r="E57" s="41"/>
      <c r="F57" s="41">
        <v>1</v>
      </c>
      <c r="G57" s="13" t="s">
        <v>201</v>
      </c>
      <c r="H57" s="44">
        <f>1141.2/F57</f>
        <v>1141.2</v>
      </c>
      <c r="I57" s="66">
        <f t="shared" si="2"/>
        <v>1141.2</v>
      </c>
      <c r="J57" s="13" t="s">
        <v>121</v>
      </c>
      <c r="L57" s="2"/>
    </row>
    <row r="58" spans="1:12" ht="61.5" customHeight="1" x14ac:dyDescent="0.3">
      <c r="A58" s="6"/>
      <c r="B58" s="5"/>
      <c r="C58" s="4"/>
      <c r="D58" s="15" t="s">
        <v>239</v>
      </c>
      <c r="E58" s="41"/>
      <c r="F58" s="41">
        <v>2.1</v>
      </c>
      <c r="G58" s="13" t="s">
        <v>173</v>
      </c>
      <c r="H58" s="44">
        <f>376.2/F58</f>
        <v>179.14285714285714</v>
      </c>
      <c r="I58" s="66">
        <f t="shared" si="2"/>
        <v>376.2</v>
      </c>
      <c r="J58" s="13" t="s">
        <v>121</v>
      </c>
      <c r="L58" s="2"/>
    </row>
    <row r="59" spans="1:12" ht="35.25" customHeight="1" x14ac:dyDescent="0.3">
      <c r="A59" s="6" t="s">
        <v>51</v>
      </c>
      <c r="B59" s="5"/>
      <c r="C59" s="4"/>
      <c r="D59" s="15" t="s">
        <v>101</v>
      </c>
      <c r="E59" s="41"/>
      <c r="F59" s="41"/>
      <c r="G59" s="13" t="s">
        <v>55</v>
      </c>
      <c r="H59" s="41"/>
      <c r="I59" s="56" t="s">
        <v>140</v>
      </c>
      <c r="J59" s="13"/>
      <c r="L59" s="2"/>
    </row>
    <row r="60" spans="1:12" ht="35.25" customHeight="1" x14ac:dyDescent="0.3">
      <c r="A60" s="6"/>
      <c r="B60" s="5"/>
      <c r="C60" s="4"/>
      <c r="D60" s="15" t="s">
        <v>224</v>
      </c>
      <c r="E60" s="41"/>
      <c r="F60" s="41">
        <f>1</f>
        <v>1</v>
      </c>
      <c r="G60" s="13" t="s">
        <v>143</v>
      </c>
      <c r="H60" s="41">
        <f>21016/F60</f>
        <v>21016</v>
      </c>
      <c r="I60" s="66">
        <f>F60*H60</f>
        <v>21016</v>
      </c>
      <c r="J60" s="13" t="s">
        <v>121</v>
      </c>
      <c r="L60" s="2"/>
    </row>
    <row r="61" spans="1:12" ht="32.25" x14ac:dyDescent="0.3">
      <c r="A61" s="6"/>
      <c r="B61" s="5"/>
      <c r="C61" s="4"/>
      <c r="D61" s="15" t="s">
        <v>187</v>
      </c>
      <c r="E61" s="41"/>
      <c r="F61" s="41">
        <f>0.14</f>
        <v>0.14000000000000001</v>
      </c>
      <c r="G61" s="13" t="s">
        <v>113</v>
      </c>
      <c r="H61" s="44">
        <f>470.8/F61</f>
        <v>3362.8571428571427</v>
      </c>
      <c r="I61" s="66">
        <f>F61*H61</f>
        <v>470.8</v>
      </c>
      <c r="J61" s="13" t="s">
        <v>121</v>
      </c>
      <c r="L61" s="2"/>
    </row>
    <row r="62" spans="1:12" ht="32.25" x14ac:dyDescent="0.3">
      <c r="A62" s="6" t="s">
        <v>60</v>
      </c>
      <c r="B62" s="8"/>
      <c r="C62" s="4"/>
      <c r="D62" s="15" t="s">
        <v>47</v>
      </c>
      <c r="E62" s="41"/>
      <c r="F62" s="41"/>
      <c r="G62" s="14" t="s">
        <v>168</v>
      </c>
      <c r="H62" s="41"/>
      <c r="I62" s="56"/>
      <c r="J62" s="13"/>
      <c r="L62" s="2"/>
    </row>
    <row r="63" spans="1:12" ht="32.25" x14ac:dyDescent="0.3">
      <c r="A63" s="6"/>
      <c r="B63" s="8"/>
      <c r="C63" s="4"/>
      <c r="D63" s="15" t="s">
        <v>204</v>
      </c>
      <c r="E63" s="41"/>
      <c r="F63" s="41">
        <f>308+536</f>
        <v>844</v>
      </c>
      <c r="G63" s="14" t="s">
        <v>113</v>
      </c>
      <c r="H63" s="44">
        <f>(151723.6+264035.8)/F63</f>
        <v>492.60592417061616</v>
      </c>
      <c r="I63" s="66">
        <f>F63*H63</f>
        <v>415759.4</v>
      </c>
      <c r="J63" s="13" t="s">
        <v>146</v>
      </c>
      <c r="L63" s="2"/>
    </row>
    <row r="64" spans="1:12" ht="18.75" x14ac:dyDescent="0.3">
      <c r="A64" s="6"/>
      <c r="B64" s="8"/>
      <c r="C64" s="4"/>
      <c r="D64" s="15" t="s">
        <v>180</v>
      </c>
      <c r="E64" s="41"/>
      <c r="F64" s="41">
        <f>20</f>
        <v>20</v>
      </c>
      <c r="G64" s="14" t="s">
        <v>113</v>
      </c>
      <c r="H64" s="44">
        <f>47400.8/F64</f>
        <v>2370.04</v>
      </c>
      <c r="I64" s="66">
        <f>F64*H64</f>
        <v>47400.800000000003</v>
      </c>
      <c r="J64" s="13" t="s">
        <v>146</v>
      </c>
      <c r="L64" s="2"/>
    </row>
    <row r="65" spans="1:12" ht="32.25" x14ac:dyDescent="0.3">
      <c r="A65" s="6"/>
      <c r="B65" s="8"/>
      <c r="C65" s="4"/>
      <c r="D65" s="15" t="s">
        <v>181</v>
      </c>
      <c r="E65" s="41"/>
      <c r="F65" s="41">
        <f>539.2+91.7</f>
        <v>630.90000000000009</v>
      </c>
      <c r="G65" s="14" t="s">
        <v>113</v>
      </c>
      <c r="H65" s="44">
        <f>(328702.4+59057)/F65</f>
        <v>614.6130924076715</v>
      </c>
      <c r="I65" s="66">
        <f>F65*H65</f>
        <v>387759.4</v>
      </c>
      <c r="J65" s="13" t="s">
        <v>146</v>
      </c>
      <c r="L65" s="2"/>
    </row>
    <row r="66" spans="1:12" ht="32.25" x14ac:dyDescent="0.3">
      <c r="A66" s="6"/>
      <c r="B66" s="8"/>
      <c r="C66" s="4"/>
      <c r="D66" s="15" t="s">
        <v>182</v>
      </c>
      <c r="E66" s="41"/>
      <c r="F66" s="41">
        <f>308+18.16</f>
        <v>326.16000000000003</v>
      </c>
      <c r="G66" s="14" t="s">
        <v>113</v>
      </c>
      <c r="H66" s="44">
        <f>(257509.4+16048.8)/F66</f>
        <v>838.72393917095906</v>
      </c>
      <c r="I66" s="66">
        <f>F66*H66</f>
        <v>273558.2</v>
      </c>
      <c r="J66" s="13" t="s">
        <v>146</v>
      </c>
      <c r="L66" s="2"/>
    </row>
    <row r="67" spans="1:12" ht="48" x14ac:dyDescent="0.3">
      <c r="A67" s="6"/>
      <c r="B67" s="8"/>
      <c r="C67" s="4"/>
      <c r="D67" s="15" t="s">
        <v>205</v>
      </c>
      <c r="E67" s="41"/>
      <c r="F67" s="41">
        <f>86.4</f>
        <v>86.4</v>
      </c>
      <c r="G67" s="14" t="s">
        <v>113</v>
      </c>
      <c r="H67" s="44">
        <f>31500.4/F67</f>
        <v>364.58796296296293</v>
      </c>
      <c r="I67" s="66">
        <f>F67*H67</f>
        <v>31500.399999999998</v>
      </c>
      <c r="J67" s="13" t="s">
        <v>146</v>
      </c>
      <c r="L67" s="2"/>
    </row>
    <row r="68" spans="1:12" ht="18.75" x14ac:dyDescent="0.3">
      <c r="A68" s="6" t="s">
        <v>62</v>
      </c>
      <c r="B68" s="5"/>
      <c r="C68" s="4"/>
      <c r="D68" s="15" t="s">
        <v>52</v>
      </c>
      <c r="E68" s="41"/>
      <c r="F68" s="41"/>
      <c r="G68" s="14" t="s">
        <v>54</v>
      </c>
      <c r="H68" s="41"/>
      <c r="I68" s="56" t="s">
        <v>140</v>
      </c>
      <c r="J68" s="13"/>
      <c r="L68" s="2"/>
    </row>
    <row r="69" spans="1:12" ht="32.25" x14ac:dyDescent="0.3">
      <c r="A69" s="6"/>
      <c r="B69" s="5"/>
      <c r="C69" s="4"/>
      <c r="D69" s="15" t="s">
        <v>166</v>
      </c>
      <c r="E69" s="41"/>
      <c r="F69" s="41">
        <f>26.9</f>
        <v>26.9</v>
      </c>
      <c r="G69" s="14" t="s">
        <v>113</v>
      </c>
      <c r="H69" s="44">
        <f>18788.6/F69</f>
        <v>698.46096654275095</v>
      </c>
      <c r="I69" s="66">
        <f t="shared" ref="I69:I74" si="3">F69*H69</f>
        <v>18788.599999999999</v>
      </c>
      <c r="J69" s="13" t="s">
        <v>146</v>
      </c>
      <c r="L69" s="2"/>
    </row>
    <row r="70" spans="1:12" ht="32.25" x14ac:dyDescent="0.3">
      <c r="A70" s="6"/>
      <c r="B70" s="5"/>
      <c r="C70" s="4"/>
      <c r="D70" s="15" t="s">
        <v>167</v>
      </c>
      <c r="E70" s="41"/>
      <c r="F70" s="41">
        <f>26.9</f>
        <v>26.9</v>
      </c>
      <c r="G70" s="14" t="s">
        <v>113</v>
      </c>
      <c r="H70" s="44">
        <f>53242.4/F70</f>
        <v>1979.2713754646841</v>
      </c>
      <c r="I70" s="66">
        <f t="shared" si="3"/>
        <v>53242.400000000001</v>
      </c>
      <c r="J70" s="13" t="s">
        <v>146</v>
      </c>
      <c r="L70" s="2"/>
    </row>
    <row r="71" spans="1:12" ht="18.75" x14ac:dyDescent="0.3">
      <c r="A71" s="6"/>
      <c r="B71" s="5"/>
      <c r="C71" s="4"/>
      <c r="D71" s="15" t="s">
        <v>198</v>
      </c>
      <c r="E71" s="41"/>
      <c r="F71" s="41">
        <v>9</v>
      </c>
      <c r="G71" s="14" t="s">
        <v>144</v>
      </c>
      <c r="H71" s="44">
        <f>3011.4/F71</f>
        <v>334.6</v>
      </c>
      <c r="I71" s="66">
        <f t="shared" si="3"/>
        <v>3011.4</v>
      </c>
      <c r="J71" s="13" t="s">
        <v>146</v>
      </c>
      <c r="L71" s="2"/>
    </row>
    <row r="72" spans="1:12" ht="48" x14ac:dyDescent="0.3">
      <c r="A72" s="6"/>
      <c r="B72" s="5"/>
      <c r="C72" s="4"/>
      <c r="D72" s="15" t="s">
        <v>185</v>
      </c>
      <c r="E72" s="41"/>
      <c r="F72" s="41">
        <v>22.6</v>
      </c>
      <c r="G72" s="13" t="s">
        <v>113</v>
      </c>
      <c r="H72" s="44">
        <f>(18201.8)/F72</f>
        <v>805.38938053097331</v>
      </c>
      <c r="I72" s="66">
        <f t="shared" si="3"/>
        <v>18201.8</v>
      </c>
      <c r="J72" s="13" t="s">
        <v>118</v>
      </c>
      <c r="L72" s="2"/>
    </row>
    <row r="73" spans="1:12" ht="48" x14ac:dyDescent="0.3">
      <c r="A73" s="6"/>
      <c r="B73" s="5"/>
      <c r="C73" s="4"/>
      <c r="D73" s="15" t="s">
        <v>241</v>
      </c>
      <c r="E73" s="41"/>
      <c r="F73" s="41">
        <v>5</v>
      </c>
      <c r="G73" s="13" t="s">
        <v>113</v>
      </c>
      <c r="H73" s="44">
        <f>(3148.8)/F73</f>
        <v>629.76</v>
      </c>
      <c r="I73" s="66">
        <f t="shared" si="3"/>
        <v>3148.8</v>
      </c>
      <c r="J73" s="13"/>
      <c r="L73" s="2"/>
    </row>
    <row r="74" spans="1:12" ht="48" x14ac:dyDescent="0.3">
      <c r="A74" s="6"/>
      <c r="B74" s="5"/>
      <c r="C74" s="4"/>
      <c r="D74" s="15" t="s">
        <v>208</v>
      </c>
      <c r="E74" s="41"/>
      <c r="F74" s="41">
        <f>11.2</f>
        <v>11.2</v>
      </c>
      <c r="G74" s="13" t="s">
        <v>113</v>
      </c>
      <c r="H74" s="44">
        <f>2735.8/F74</f>
        <v>244.26785714285717</v>
      </c>
      <c r="I74" s="66">
        <f t="shared" si="3"/>
        <v>2735.8</v>
      </c>
      <c r="J74" s="13" t="s">
        <v>146</v>
      </c>
      <c r="L74" s="2"/>
    </row>
    <row r="75" spans="1:12" ht="32.25" x14ac:dyDescent="0.3">
      <c r="A75" s="6" t="s">
        <v>63</v>
      </c>
      <c r="B75" s="5"/>
      <c r="C75" s="4"/>
      <c r="D75" s="15" t="s">
        <v>65</v>
      </c>
      <c r="E75" s="41" t="s">
        <v>140</v>
      </c>
      <c r="F75" s="41" t="s">
        <v>140</v>
      </c>
      <c r="G75" s="13" t="s">
        <v>30</v>
      </c>
      <c r="H75" s="41"/>
      <c r="I75" s="56" t="s">
        <v>140</v>
      </c>
      <c r="J75" s="13"/>
      <c r="L75" s="2"/>
    </row>
    <row r="76" spans="1:12" ht="48" x14ac:dyDescent="0.3">
      <c r="A76" s="6"/>
      <c r="B76" s="5"/>
      <c r="C76" s="4"/>
      <c r="D76" s="15" t="s">
        <v>245</v>
      </c>
      <c r="E76" s="41"/>
      <c r="F76" s="41">
        <f>2</f>
        <v>2</v>
      </c>
      <c r="G76" s="13" t="s">
        <v>113</v>
      </c>
      <c r="H76" s="41">
        <f>1251.6/F76</f>
        <v>625.79999999999995</v>
      </c>
      <c r="I76" s="66">
        <f>F76*H76</f>
        <v>1251.5999999999999</v>
      </c>
      <c r="J76" s="13" t="s">
        <v>121</v>
      </c>
      <c r="L76" s="2"/>
    </row>
    <row r="77" spans="1:12" ht="32.25" x14ac:dyDescent="0.3">
      <c r="A77" s="6"/>
      <c r="B77" s="5"/>
      <c r="C77" s="4"/>
      <c r="D77" s="15" t="s">
        <v>206</v>
      </c>
      <c r="E77" s="41"/>
      <c r="F77" s="41">
        <f>1</f>
        <v>1</v>
      </c>
      <c r="G77" s="13" t="s">
        <v>207</v>
      </c>
      <c r="H77" s="41">
        <f>7856.4/F77</f>
        <v>7856.4</v>
      </c>
      <c r="I77" s="66">
        <f>F77*H77</f>
        <v>7856.4</v>
      </c>
      <c r="J77" s="13" t="s">
        <v>146</v>
      </c>
      <c r="L77" s="2"/>
    </row>
    <row r="78" spans="1:12" ht="18.75" x14ac:dyDescent="0.3">
      <c r="A78" s="6"/>
      <c r="B78" s="5"/>
      <c r="C78" s="4"/>
      <c r="D78" s="15" t="s">
        <v>151</v>
      </c>
      <c r="E78" s="41" t="s">
        <v>140</v>
      </c>
      <c r="F78" s="41">
        <f>2</f>
        <v>2</v>
      </c>
      <c r="G78" s="13" t="s">
        <v>31</v>
      </c>
      <c r="H78" s="41">
        <f>3367.4/F78</f>
        <v>1683.7</v>
      </c>
      <c r="I78" s="66">
        <f>F78*H78</f>
        <v>3367.4</v>
      </c>
      <c r="J78" s="13" t="s">
        <v>146</v>
      </c>
      <c r="L78" s="2"/>
    </row>
    <row r="79" spans="1:12" ht="18.75" x14ac:dyDescent="0.3">
      <c r="A79" s="6" t="s">
        <v>59</v>
      </c>
      <c r="B79" s="8"/>
      <c r="C79" s="4"/>
      <c r="D79" s="4" t="s">
        <v>48</v>
      </c>
      <c r="E79" s="41" t="s">
        <v>140</v>
      </c>
      <c r="F79" s="41" t="s">
        <v>140</v>
      </c>
      <c r="G79" s="14" t="s">
        <v>54</v>
      </c>
      <c r="H79" s="41"/>
      <c r="I79" s="56" t="s">
        <v>140</v>
      </c>
      <c r="J79" s="13"/>
      <c r="L79" s="2"/>
    </row>
    <row r="80" spans="1:12" ht="24" customHeight="1" x14ac:dyDescent="0.3">
      <c r="A80" s="6" t="s">
        <v>61</v>
      </c>
      <c r="B80" s="8"/>
      <c r="C80" s="4"/>
      <c r="D80" s="4" t="s">
        <v>49</v>
      </c>
      <c r="E80" s="41" t="s">
        <v>140</v>
      </c>
      <c r="F80" s="41" t="s">
        <v>140</v>
      </c>
      <c r="G80" s="14" t="s">
        <v>54</v>
      </c>
      <c r="H80" s="41"/>
      <c r="I80" s="56" t="s">
        <v>140</v>
      </c>
      <c r="J80" s="13"/>
      <c r="L80" s="2"/>
    </row>
    <row r="81" spans="1:12" ht="18.75" x14ac:dyDescent="0.3">
      <c r="A81" s="6" t="s">
        <v>66</v>
      </c>
      <c r="B81" s="5"/>
      <c r="C81" s="4"/>
      <c r="D81" s="4" t="s">
        <v>94</v>
      </c>
      <c r="E81" s="41"/>
      <c r="F81" s="41"/>
      <c r="G81" s="14" t="s">
        <v>55</v>
      </c>
      <c r="H81" s="41"/>
      <c r="I81" s="56"/>
      <c r="J81" s="13"/>
      <c r="L81" s="2"/>
    </row>
    <row r="82" spans="1:12" ht="18.75" x14ac:dyDescent="0.3">
      <c r="A82" s="28"/>
      <c r="B82" s="22"/>
      <c r="C82" s="22"/>
      <c r="D82" s="5" t="s">
        <v>235</v>
      </c>
      <c r="E82" s="53"/>
      <c r="F82" s="53">
        <f>6</f>
        <v>6</v>
      </c>
      <c r="G82" s="14" t="s">
        <v>31</v>
      </c>
      <c r="H82" s="83">
        <f>8565.2/F82</f>
        <v>1427.5333333333335</v>
      </c>
      <c r="I82" s="84">
        <f>F82*H82</f>
        <v>8565.2000000000007</v>
      </c>
      <c r="J82" s="13" t="s">
        <v>118</v>
      </c>
      <c r="L82" s="2"/>
    </row>
    <row r="83" spans="1:12" ht="18.75" x14ac:dyDescent="0.3">
      <c r="A83" s="28"/>
      <c r="B83" s="22"/>
      <c r="C83" s="22"/>
      <c r="D83" s="5" t="s">
        <v>236</v>
      </c>
      <c r="E83" s="53"/>
      <c r="F83" s="53">
        <f>6</f>
        <v>6</v>
      </c>
      <c r="G83" s="14" t="s">
        <v>31</v>
      </c>
      <c r="H83" s="83">
        <f>24079/F83</f>
        <v>4013.1666666666665</v>
      </c>
      <c r="I83" s="84">
        <f>F83*H83</f>
        <v>24079</v>
      </c>
      <c r="J83" s="13" t="s">
        <v>118</v>
      </c>
      <c r="L83" s="2"/>
    </row>
    <row r="84" spans="1:12" ht="18.75" x14ac:dyDescent="0.3">
      <c r="A84" s="28"/>
      <c r="B84" s="22"/>
      <c r="C84" s="22"/>
      <c r="D84" s="22"/>
      <c r="E84" s="45"/>
      <c r="F84" s="45"/>
      <c r="G84" s="12"/>
      <c r="H84" s="41"/>
      <c r="I84" s="58">
        <f>SUM(I47:I81)</f>
        <v>1322916.3999999999</v>
      </c>
      <c r="J84" s="13"/>
      <c r="L84" s="2"/>
    </row>
    <row r="85" spans="1:12" ht="18.75" x14ac:dyDescent="0.3">
      <c r="A85" s="94" t="s">
        <v>68</v>
      </c>
      <c r="B85" s="95"/>
      <c r="C85" s="95"/>
      <c r="D85" s="95"/>
      <c r="E85" s="95"/>
      <c r="F85" s="95"/>
      <c r="G85" s="96"/>
      <c r="H85" s="18"/>
      <c r="I85" s="68"/>
      <c r="J85" s="13"/>
      <c r="L85" s="2"/>
    </row>
    <row r="86" spans="1:12" ht="37.5" x14ac:dyDescent="0.25">
      <c r="A86" s="9" t="s">
        <v>29</v>
      </c>
      <c r="B86" s="8"/>
      <c r="C86" s="4"/>
      <c r="D86" s="15" t="s">
        <v>142</v>
      </c>
      <c r="E86" s="41" t="s">
        <v>140</v>
      </c>
      <c r="F86" s="41" t="s">
        <v>140</v>
      </c>
      <c r="G86" s="13" t="s">
        <v>55</v>
      </c>
      <c r="H86" s="41"/>
      <c r="I86" s="56" t="s">
        <v>140</v>
      </c>
      <c r="J86" s="13"/>
      <c r="L86" s="2"/>
    </row>
    <row r="87" spans="1:12" ht="63" customHeight="1" x14ac:dyDescent="0.25">
      <c r="A87" s="9"/>
      <c r="B87" s="8"/>
      <c r="C87" s="4"/>
      <c r="D87" s="15" t="s">
        <v>186</v>
      </c>
      <c r="E87" s="41"/>
      <c r="F87" s="41">
        <f>10.14</f>
        <v>10.14</v>
      </c>
      <c r="G87" s="13" t="s">
        <v>113</v>
      </c>
      <c r="H87" s="44">
        <f>7670.4/F87</f>
        <v>756.4497041420118</v>
      </c>
      <c r="I87" s="66">
        <f>F87*H87</f>
        <v>7670.4</v>
      </c>
      <c r="J87" s="13" t="s">
        <v>118</v>
      </c>
      <c r="L87" s="2"/>
    </row>
    <row r="88" spans="1:12" ht="63" customHeight="1" x14ac:dyDescent="0.25">
      <c r="A88" s="9"/>
      <c r="B88" s="8"/>
      <c r="C88" s="4"/>
      <c r="D88" s="15" t="s">
        <v>242</v>
      </c>
      <c r="E88" s="41"/>
      <c r="F88" s="41">
        <f>1</f>
        <v>1</v>
      </c>
      <c r="G88" s="13" t="s">
        <v>113</v>
      </c>
      <c r="H88" s="44">
        <f>592/F88</f>
        <v>592</v>
      </c>
      <c r="I88" s="66">
        <f>F88*H88</f>
        <v>592</v>
      </c>
      <c r="J88" s="13"/>
      <c r="L88" s="2"/>
    </row>
    <row r="89" spans="1:12" ht="46.5" customHeight="1" x14ac:dyDescent="0.25">
      <c r="A89" s="9" t="s">
        <v>93</v>
      </c>
      <c r="B89" s="8"/>
      <c r="C89" s="4"/>
      <c r="D89" s="42" t="s">
        <v>126</v>
      </c>
      <c r="E89" s="32"/>
      <c r="F89" s="13">
        <v>1800</v>
      </c>
      <c r="G89" s="13" t="s">
        <v>113</v>
      </c>
      <c r="H89" s="33">
        <f>(8426.4+8426.4+8426.4+8479.6+8479.6+8479.6+8806.4+8806.4+8806.4+8921.6+8921.6+8921.6)/F89</f>
        <v>57.723333333333336</v>
      </c>
      <c r="I89" s="57">
        <f t="shared" ref="I89" si="4">F89*H89</f>
        <v>103902</v>
      </c>
      <c r="J89" s="13" t="s">
        <v>116</v>
      </c>
      <c r="L89" s="2"/>
    </row>
    <row r="90" spans="1:12" ht="46.5" customHeight="1" x14ac:dyDescent="0.25">
      <c r="A90" s="9"/>
      <c r="B90" s="8"/>
      <c r="C90" s="4"/>
      <c r="D90" s="15" t="s">
        <v>150</v>
      </c>
      <c r="E90" s="41" t="s">
        <v>140</v>
      </c>
      <c r="F90" s="41">
        <f>47+68+34+10+2+31+14+6</f>
        <v>212</v>
      </c>
      <c r="G90" s="13" t="s">
        <v>31</v>
      </c>
      <c r="H90" s="44">
        <f>(67383+84064.6+42295.6+12170.6+3049.2+40635.6+18252+7683.4)/F90</f>
        <v>1299.6886792452833</v>
      </c>
      <c r="I90" s="56">
        <f>F90*H90</f>
        <v>275534.00000000006</v>
      </c>
      <c r="J90" s="13" t="s">
        <v>123</v>
      </c>
      <c r="L90" s="2"/>
    </row>
    <row r="91" spans="1:12" ht="46.5" customHeight="1" x14ac:dyDescent="0.25">
      <c r="A91" s="9"/>
      <c r="B91" s="8"/>
      <c r="C91" s="4"/>
      <c r="D91" s="15" t="s">
        <v>159</v>
      </c>
      <c r="E91" s="41" t="s">
        <v>140</v>
      </c>
      <c r="F91" s="41">
        <f>10+6+2.5+2.5+4+12+28+24+10+47</f>
        <v>146</v>
      </c>
      <c r="G91" s="13" t="s">
        <v>30</v>
      </c>
      <c r="H91" s="44">
        <f>(3548.8+2128.8+893+893+1429.4+4451.2+10385.6+9017.6+3756.8+17657.8)/F91</f>
        <v>370.97260273972603</v>
      </c>
      <c r="I91" s="66">
        <f t="shared" ref="I91:I95" si="5">F91*H91</f>
        <v>54162</v>
      </c>
      <c r="J91" s="13" t="s">
        <v>118</v>
      </c>
      <c r="L91" s="2"/>
    </row>
    <row r="92" spans="1:12" ht="77.25" customHeight="1" x14ac:dyDescent="0.25">
      <c r="A92" s="9"/>
      <c r="B92" s="8"/>
      <c r="C92" s="4"/>
      <c r="D92" s="15" t="s">
        <v>177</v>
      </c>
      <c r="E92" s="41" t="s">
        <v>140</v>
      </c>
      <c r="F92" s="41">
        <f>3+6+2+4+3+7+4+3+11</f>
        <v>43</v>
      </c>
      <c r="G92" s="13" t="s">
        <v>158</v>
      </c>
      <c r="H92" s="44">
        <f>(71.8+144+47+96+74.6+176.8+102.4+76.6+278.8)/F92</f>
        <v>24.837209302325583</v>
      </c>
      <c r="I92" s="66">
        <f t="shared" si="5"/>
        <v>1068</v>
      </c>
      <c r="J92" s="13" t="s">
        <v>118</v>
      </c>
      <c r="L92" s="2"/>
    </row>
    <row r="93" spans="1:12" ht="46.5" customHeight="1" x14ac:dyDescent="0.25">
      <c r="A93" s="9"/>
      <c r="B93" s="8"/>
      <c r="C93" s="4"/>
      <c r="D93" s="15" t="s">
        <v>179</v>
      </c>
      <c r="E93" s="41" t="s">
        <v>140</v>
      </c>
      <c r="F93" s="41">
        <f>2+6+5+1+2+4+2+2+7</f>
        <v>31</v>
      </c>
      <c r="G93" s="13" t="s">
        <v>30</v>
      </c>
      <c r="H93" s="44">
        <f>(568.4+1710.4+1431.8+407.8+3329.6+5452.4+673.6+3673.6+5295.4)/F93</f>
        <v>727.19354838709683</v>
      </c>
      <c r="I93" s="66">
        <f t="shared" si="5"/>
        <v>22543</v>
      </c>
      <c r="J93" s="13" t="s">
        <v>118</v>
      </c>
      <c r="L93" s="2"/>
    </row>
    <row r="94" spans="1:12" ht="83.25" customHeight="1" x14ac:dyDescent="0.25">
      <c r="A94" s="9"/>
      <c r="B94" s="8"/>
      <c r="C94" s="4"/>
      <c r="D94" s="15" t="s">
        <v>160</v>
      </c>
      <c r="E94" s="41" t="s">
        <v>140</v>
      </c>
      <c r="F94" s="41">
        <f>8+3+3+5+12+34+25+13+53</f>
        <v>156</v>
      </c>
      <c r="G94" s="13" t="s">
        <v>158</v>
      </c>
      <c r="H94" s="44">
        <f>(283.8+107.4+107.4+176.8+444.4+1258.6+937.8+488.2+1986.8)/F94</f>
        <v>37.123076923076923</v>
      </c>
      <c r="I94" s="66">
        <f t="shared" si="5"/>
        <v>5791.2</v>
      </c>
      <c r="J94" s="13" t="s">
        <v>118</v>
      </c>
      <c r="L94" s="2"/>
    </row>
    <row r="95" spans="1:12" ht="46.5" customHeight="1" x14ac:dyDescent="0.25">
      <c r="A95" s="9"/>
      <c r="B95" s="8"/>
      <c r="C95" s="4"/>
      <c r="D95" s="15" t="s">
        <v>178</v>
      </c>
      <c r="E95" s="41" t="s">
        <v>140</v>
      </c>
      <c r="F95" s="41">
        <f>8+2+1.5+4+24+20+2+10+8+40</f>
        <v>119.5</v>
      </c>
      <c r="G95" s="13" t="s">
        <v>30</v>
      </c>
      <c r="H95" s="44">
        <f>(4467.6+2394.2+652+6283.6+14234.8+5767.2+7767.4+2819.2+3949.8+22943)/F95</f>
        <v>596.47531380753139</v>
      </c>
      <c r="I95" s="66">
        <f t="shared" si="5"/>
        <v>71278.8</v>
      </c>
      <c r="J95" s="13" t="s">
        <v>118</v>
      </c>
      <c r="L95" s="2"/>
    </row>
    <row r="96" spans="1:12" ht="46.5" customHeight="1" x14ac:dyDescent="0.25">
      <c r="A96" s="9"/>
      <c r="B96" s="8"/>
      <c r="C96" s="4"/>
      <c r="D96" s="15" t="s">
        <v>189</v>
      </c>
      <c r="E96" s="41"/>
      <c r="F96" s="41">
        <f>2+1+2</f>
        <v>5</v>
      </c>
      <c r="G96" s="13" t="s">
        <v>31</v>
      </c>
      <c r="H96" s="41">
        <f>(1069+535.4+1106.8)/F96</f>
        <v>542.24</v>
      </c>
      <c r="I96" s="66">
        <f>F96*H96</f>
        <v>2711.2</v>
      </c>
      <c r="J96" s="13" t="s">
        <v>118</v>
      </c>
      <c r="L96" s="2"/>
    </row>
    <row r="97" spans="1:12" ht="46.5" customHeight="1" x14ac:dyDescent="0.25">
      <c r="A97" s="9"/>
      <c r="B97" s="8"/>
      <c r="C97" s="4"/>
      <c r="D97" s="15" t="s">
        <v>172</v>
      </c>
      <c r="E97" s="41" t="s">
        <v>140</v>
      </c>
      <c r="F97" s="41">
        <f>6</f>
        <v>6</v>
      </c>
      <c r="G97" s="13" t="s">
        <v>31</v>
      </c>
      <c r="H97" s="44">
        <f>8728/F97</f>
        <v>1454.6666666666667</v>
      </c>
      <c r="I97" s="66">
        <f>F97*H97</f>
        <v>8728</v>
      </c>
      <c r="J97" s="13" t="s">
        <v>146</v>
      </c>
      <c r="L97" s="2"/>
    </row>
    <row r="98" spans="1:12" ht="31.5" x14ac:dyDescent="0.25">
      <c r="A98" s="9" t="s">
        <v>84</v>
      </c>
      <c r="B98" s="8"/>
      <c r="C98" s="4"/>
      <c r="D98" s="15" t="s">
        <v>153</v>
      </c>
      <c r="E98" s="41" t="s">
        <v>140</v>
      </c>
      <c r="F98" s="41" t="s">
        <v>140</v>
      </c>
      <c r="G98" s="13" t="s">
        <v>55</v>
      </c>
      <c r="H98" s="41"/>
      <c r="I98" s="56" t="s">
        <v>140</v>
      </c>
      <c r="J98" s="13"/>
      <c r="L98" s="2"/>
    </row>
    <row r="99" spans="1:12" ht="31.5" x14ac:dyDescent="0.25">
      <c r="A99" s="9"/>
      <c r="B99" s="8"/>
      <c r="C99" s="4"/>
      <c r="D99" s="15" t="s">
        <v>154</v>
      </c>
      <c r="E99" s="41" t="s">
        <v>140</v>
      </c>
      <c r="F99" s="41" t="s">
        <v>140</v>
      </c>
      <c r="G99" s="13" t="s">
        <v>55</v>
      </c>
      <c r="H99" s="41"/>
      <c r="I99" s="56" t="s">
        <v>140</v>
      </c>
      <c r="J99" s="13"/>
      <c r="L99" s="2"/>
    </row>
    <row r="100" spans="1:12" ht="31.5" x14ac:dyDescent="0.25">
      <c r="A100" s="9"/>
      <c r="B100" s="8"/>
      <c r="C100" s="4"/>
      <c r="D100" s="15" t="s">
        <v>176</v>
      </c>
      <c r="E100" s="41"/>
      <c r="F100" s="41">
        <f>2+9+2+1</f>
        <v>14</v>
      </c>
      <c r="G100" s="13" t="s">
        <v>31</v>
      </c>
      <c r="H100" s="44">
        <f>(2449.4+11528.2+2894.4+1288.6)/F100</f>
        <v>1297.1857142857141</v>
      </c>
      <c r="I100" s="66">
        <f>F100*H100</f>
        <v>18160.599999999999</v>
      </c>
      <c r="J100" s="13" t="s">
        <v>118</v>
      </c>
      <c r="L100" s="2"/>
    </row>
    <row r="101" spans="1:12" ht="18.75" x14ac:dyDescent="0.25">
      <c r="A101" s="9"/>
      <c r="B101" s="8"/>
      <c r="C101" s="4"/>
      <c r="D101" s="15" t="s">
        <v>133</v>
      </c>
      <c r="E101" s="41" t="s">
        <v>140</v>
      </c>
      <c r="F101" s="41">
        <f>23</f>
        <v>23</v>
      </c>
      <c r="G101" s="13" t="s">
        <v>31</v>
      </c>
      <c r="H101" s="44"/>
      <c r="I101" s="66">
        <f>F101*H101</f>
        <v>0</v>
      </c>
      <c r="J101" s="13" t="s">
        <v>118</v>
      </c>
      <c r="L101" s="2"/>
    </row>
    <row r="102" spans="1:12" ht="18.75" x14ac:dyDescent="0.25">
      <c r="A102" s="9"/>
      <c r="B102" s="8"/>
      <c r="C102" s="4"/>
      <c r="D102" s="15" t="s">
        <v>148</v>
      </c>
      <c r="E102" s="41" t="s">
        <v>140</v>
      </c>
      <c r="F102" s="41">
        <f>1</f>
        <v>1</v>
      </c>
      <c r="G102" s="13" t="s">
        <v>31</v>
      </c>
      <c r="H102" s="41">
        <f>24290.2/F102</f>
        <v>24290.2</v>
      </c>
      <c r="I102" s="66">
        <f>F102*H102</f>
        <v>24290.2</v>
      </c>
      <c r="J102" s="13" t="s">
        <v>123</v>
      </c>
      <c r="L102" s="2"/>
    </row>
    <row r="103" spans="1:12" ht="18.75" x14ac:dyDescent="0.25">
      <c r="A103" s="9"/>
      <c r="B103" s="8"/>
      <c r="C103" s="4"/>
      <c r="D103" s="15" t="s">
        <v>155</v>
      </c>
      <c r="E103" s="41" t="s">
        <v>140</v>
      </c>
      <c r="F103" s="41">
        <f>5</f>
        <v>5</v>
      </c>
      <c r="G103" s="13" t="s">
        <v>156</v>
      </c>
      <c r="H103" s="41">
        <f>18151/F103</f>
        <v>3630.2</v>
      </c>
      <c r="I103" s="66">
        <f>F103*H103</f>
        <v>18151</v>
      </c>
      <c r="J103" s="13" t="s">
        <v>118</v>
      </c>
      <c r="L103" s="2"/>
    </row>
    <row r="104" spans="1:12" ht="18.75" x14ac:dyDescent="0.25">
      <c r="A104" s="9" t="s">
        <v>20</v>
      </c>
      <c r="B104" s="8"/>
      <c r="C104" s="4"/>
      <c r="D104" s="15" t="s">
        <v>69</v>
      </c>
      <c r="E104" s="41" t="s">
        <v>140</v>
      </c>
      <c r="F104" s="41" t="s">
        <v>140</v>
      </c>
      <c r="G104" s="13" t="s">
        <v>30</v>
      </c>
      <c r="H104" s="41"/>
      <c r="I104" s="56" t="s">
        <v>140</v>
      </c>
      <c r="J104" s="13"/>
      <c r="L104" s="2"/>
    </row>
    <row r="105" spans="1:12" ht="31.5" x14ac:dyDescent="0.25">
      <c r="A105" s="9" t="s">
        <v>21</v>
      </c>
      <c r="B105" s="8"/>
      <c r="C105" s="4"/>
      <c r="D105" s="15" t="s">
        <v>71</v>
      </c>
      <c r="E105" s="41" t="s">
        <v>140</v>
      </c>
      <c r="F105" s="41" t="s">
        <v>140</v>
      </c>
      <c r="G105" s="13" t="s">
        <v>55</v>
      </c>
      <c r="H105" s="41"/>
      <c r="I105" s="56" t="s">
        <v>140</v>
      </c>
      <c r="J105" s="13"/>
      <c r="L105" s="2"/>
    </row>
    <row r="106" spans="1:12" ht="18.75" x14ac:dyDescent="0.25">
      <c r="A106" s="46"/>
      <c r="B106" s="47"/>
      <c r="C106" s="22"/>
      <c r="D106" s="30"/>
      <c r="E106" s="45"/>
      <c r="F106" s="45"/>
      <c r="G106" s="31"/>
      <c r="H106" s="41"/>
      <c r="I106" s="58">
        <f>SUM(I87:I105)</f>
        <v>614582.39999999991</v>
      </c>
      <c r="J106" s="13"/>
      <c r="L106" s="2"/>
    </row>
    <row r="107" spans="1:12" ht="18.75" x14ac:dyDescent="0.3">
      <c r="A107" s="89" t="s">
        <v>72</v>
      </c>
      <c r="B107" s="90"/>
      <c r="C107" s="90"/>
      <c r="D107" s="90"/>
      <c r="E107" s="90"/>
      <c r="F107" s="90"/>
      <c r="G107" s="91"/>
      <c r="H107" s="19"/>
      <c r="I107" s="68"/>
      <c r="J107" s="13"/>
      <c r="L107" s="2"/>
    </row>
    <row r="108" spans="1:12" ht="37.5" x14ac:dyDescent="0.25">
      <c r="A108" s="9" t="s">
        <v>93</v>
      </c>
      <c r="B108" s="8"/>
      <c r="C108" s="4"/>
      <c r="D108" s="4" t="s">
        <v>128</v>
      </c>
      <c r="E108" s="31"/>
      <c r="F108" s="13">
        <f>12+12+97+8+10+8+9+17+12+12+12</f>
        <v>209</v>
      </c>
      <c r="G108" s="13" t="s">
        <v>115</v>
      </c>
      <c r="H108" s="33">
        <f>(8426.4+8426.4+6321.4+4946.2+5651.6+7064.6+5873.2+6607.2+12477.4+8921.6+8921.6+8921.6)/F108/3</f>
        <v>147.62232854864436</v>
      </c>
      <c r="I108" s="57">
        <f>F108*H108</f>
        <v>30853.066666666673</v>
      </c>
      <c r="J108" s="13" t="s">
        <v>116</v>
      </c>
      <c r="L108" s="2"/>
    </row>
    <row r="109" spans="1:12" ht="31.5" x14ac:dyDescent="0.25">
      <c r="A109" s="9"/>
      <c r="B109" s="8"/>
      <c r="C109" s="4"/>
      <c r="D109" s="15" t="s">
        <v>150</v>
      </c>
      <c r="E109" s="41" t="s">
        <v>140</v>
      </c>
      <c r="F109" s="41">
        <f>2+8+10</f>
        <v>20</v>
      </c>
      <c r="G109" s="13" t="s">
        <v>31</v>
      </c>
      <c r="H109" s="44">
        <f>(3049.2+12266.2+15331.6)/F109</f>
        <v>1532.35</v>
      </c>
      <c r="I109" s="56">
        <f>F109*H109</f>
        <v>30647</v>
      </c>
      <c r="J109" s="13" t="s">
        <v>116</v>
      </c>
      <c r="L109" s="2"/>
    </row>
    <row r="110" spans="1:12" ht="31.5" x14ac:dyDescent="0.25">
      <c r="A110" s="9"/>
      <c r="B110" s="8"/>
      <c r="C110" s="4"/>
      <c r="D110" s="15" t="s">
        <v>159</v>
      </c>
      <c r="E110" s="41" t="s">
        <v>140</v>
      </c>
      <c r="F110" s="41">
        <v>38</v>
      </c>
      <c r="G110" s="13" t="s">
        <v>30</v>
      </c>
      <c r="H110" s="44">
        <f>12924.4/F110</f>
        <v>340.11578947368417</v>
      </c>
      <c r="I110" s="66">
        <f t="shared" ref="I110:I112" si="6">F110*H110</f>
        <v>12924.399999999998</v>
      </c>
      <c r="J110" s="13" t="s">
        <v>118</v>
      </c>
      <c r="L110" s="2"/>
    </row>
    <row r="111" spans="1:12" ht="78.75" x14ac:dyDescent="0.25">
      <c r="A111" s="9"/>
      <c r="B111" s="8"/>
      <c r="C111" s="4"/>
      <c r="D111" s="15" t="s">
        <v>177</v>
      </c>
      <c r="E111" s="41" t="s">
        <v>140</v>
      </c>
      <c r="F111" s="41">
        <f>5</f>
        <v>5</v>
      </c>
      <c r="G111" s="13" t="s">
        <v>158</v>
      </c>
      <c r="H111" s="44">
        <f>124/F111</f>
        <v>24.8</v>
      </c>
      <c r="I111" s="66">
        <f t="shared" si="6"/>
        <v>124</v>
      </c>
      <c r="J111" s="13" t="s">
        <v>118</v>
      </c>
      <c r="L111" s="2"/>
    </row>
    <row r="112" spans="1:12" ht="47.25" x14ac:dyDescent="0.25">
      <c r="A112" s="9"/>
      <c r="B112" s="8"/>
      <c r="C112" s="4"/>
      <c r="D112" s="15" t="s">
        <v>179</v>
      </c>
      <c r="E112" s="41" t="s">
        <v>140</v>
      </c>
      <c r="F112" s="41">
        <f>4</f>
        <v>4</v>
      </c>
      <c r="G112" s="13" t="s">
        <v>30</v>
      </c>
      <c r="H112" s="44">
        <f>(11012)/F112</f>
        <v>2753</v>
      </c>
      <c r="I112" s="66">
        <f t="shared" si="6"/>
        <v>11012</v>
      </c>
      <c r="J112" s="13" t="s">
        <v>118</v>
      </c>
      <c r="L112" s="2"/>
    </row>
    <row r="113" spans="1:12" ht="78.75" x14ac:dyDescent="0.25">
      <c r="A113" s="9"/>
      <c r="B113" s="8"/>
      <c r="C113" s="4"/>
      <c r="D113" s="15" t="s">
        <v>160</v>
      </c>
      <c r="E113" s="41" t="s">
        <v>140</v>
      </c>
      <c r="F113" s="41">
        <f>36+36</f>
        <v>72</v>
      </c>
      <c r="G113" s="13" t="s">
        <v>158</v>
      </c>
      <c r="H113" s="44">
        <f>(1333+20290.2)/F113</f>
        <v>300.32222222222225</v>
      </c>
      <c r="I113" s="66">
        <f t="shared" ref="I113" si="7">F113*H113</f>
        <v>21623.200000000001</v>
      </c>
      <c r="J113" s="13" t="s">
        <v>118</v>
      </c>
      <c r="L113" s="2"/>
    </row>
    <row r="114" spans="1:12" ht="31.5" x14ac:dyDescent="0.25">
      <c r="A114" s="9"/>
      <c r="B114" s="8"/>
      <c r="C114" s="4"/>
      <c r="D114" s="15" t="s">
        <v>162</v>
      </c>
      <c r="E114" s="41" t="s">
        <v>140</v>
      </c>
      <c r="F114" s="41">
        <v>30</v>
      </c>
      <c r="G114" s="13" t="s">
        <v>30</v>
      </c>
      <c r="H114" s="44">
        <f>16905/F114</f>
        <v>563.5</v>
      </c>
      <c r="I114" s="66">
        <f>F114*H114</f>
        <v>16905</v>
      </c>
      <c r="J114" s="13" t="s">
        <v>118</v>
      </c>
      <c r="L114" s="2"/>
    </row>
    <row r="115" spans="1:12" ht="78.75" x14ac:dyDescent="0.25">
      <c r="A115" s="9"/>
      <c r="B115" s="8"/>
      <c r="C115" s="4"/>
      <c r="D115" s="15" t="s">
        <v>190</v>
      </c>
      <c r="E115" s="41" t="s">
        <v>140</v>
      </c>
      <c r="F115" s="41">
        <f>31</f>
        <v>31</v>
      </c>
      <c r="G115" s="13" t="s">
        <v>158</v>
      </c>
      <c r="H115" s="44">
        <f>4535.2/F115</f>
        <v>146.29677419354837</v>
      </c>
      <c r="I115" s="66">
        <f>F115*H115</f>
        <v>4535.2</v>
      </c>
      <c r="J115" s="13" t="s">
        <v>118</v>
      </c>
      <c r="L115" s="2"/>
    </row>
    <row r="116" spans="1:12" ht="31.5" x14ac:dyDescent="0.25">
      <c r="A116" s="9"/>
      <c r="B116" s="8"/>
      <c r="C116" s="4"/>
      <c r="D116" s="15" t="s">
        <v>150</v>
      </c>
      <c r="E116" s="41" t="s">
        <v>140</v>
      </c>
      <c r="F116" s="41">
        <f>11+7+12</f>
        <v>30</v>
      </c>
      <c r="G116" s="13" t="s">
        <v>31</v>
      </c>
      <c r="H116" s="44">
        <f>(16001.4+10181+18289.4)/F116</f>
        <v>1482.3933333333334</v>
      </c>
      <c r="I116" s="56">
        <f>F116*H116</f>
        <v>44471.8</v>
      </c>
      <c r="J116" s="13" t="s">
        <v>123</v>
      </c>
      <c r="L116" s="2"/>
    </row>
    <row r="117" spans="1:12" ht="47.25" x14ac:dyDescent="0.25">
      <c r="A117" s="9"/>
      <c r="B117" s="8"/>
      <c r="C117" s="4"/>
      <c r="D117" s="15" t="s">
        <v>191</v>
      </c>
      <c r="E117" s="41" t="s">
        <v>140</v>
      </c>
      <c r="F117" s="41">
        <v>30</v>
      </c>
      <c r="G117" s="13" t="s">
        <v>30</v>
      </c>
      <c r="H117" s="44">
        <f>38537.4/F117</f>
        <v>1284.5800000000002</v>
      </c>
      <c r="I117" s="66">
        <f>F117*H117</f>
        <v>38537.4</v>
      </c>
      <c r="J117" s="13" t="s">
        <v>118</v>
      </c>
      <c r="L117" s="2"/>
    </row>
    <row r="118" spans="1:12" ht="31.5" x14ac:dyDescent="0.25">
      <c r="A118" s="9"/>
      <c r="B118" s="8"/>
      <c r="C118" s="4"/>
      <c r="D118" s="15" t="s">
        <v>243</v>
      </c>
      <c r="E118" s="41" t="s">
        <v>140</v>
      </c>
      <c r="F118" s="41">
        <v>5</v>
      </c>
      <c r="G118" s="13" t="s">
        <v>30</v>
      </c>
      <c r="H118" s="41">
        <f>10819.2/F118</f>
        <v>2163.84</v>
      </c>
      <c r="I118" s="66">
        <f>F118*H118</f>
        <v>10819.2</v>
      </c>
      <c r="J118" s="13" t="s">
        <v>146</v>
      </c>
      <c r="L118" s="2"/>
    </row>
    <row r="119" spans="1:12" ht="18.75" x14ac:dyDescent="0.25">
      <c r="A119" s="9" t="s">
        <v>84</v>
      </c>
      <c r="B119" s="8"/>
      <c r="C119" s="4"/>
      <c r="D119" s="15" t="s">
        <v>70</v>
      </c>
      <c r="E119" s="41" t="s">
        <v>140</v>
      </c>
      <c r="F119" s="41"/>
      <c r="G119" s="13" t="s">
        <v>55</v>
      </c>
      <c r="H119" s="41"/>
      <c r="I119" s="56" t="s">
        <v>140</v>
      </c>
      <c r="J119" s="13"/>
      <c r="L119" s="2"/>
    </row>
    <row r="120" spans="1:12" ht="18.75" x14ac:dyDescent="0.25">
      <c r="A120" s="9"/>
      <c r="B120" s="8"/>
      <c r="C120" s="4"/>
      <c r="D120" s="15" t="s">
        <v>148</v>
      </c>
      <c r="E120" s="41"/>
      <c r="F120" s="41">
        <f>1</f>
        <v>1</v>
      </c>
      <c r="G120" s="13" t="s">
        <v>31</v>
      </c>
      <c r="H120" s="41">
        <f>24290.2/F120</f>
        <v>24290.2</v>
      </c>
      <c r="I120" s="80">
        <f>F120*H120</f>
        <v>24290.2</v>
      </c>
      <c r="J120" s="13" t="s">
        <v>123</v>
      </c>
      <c r="L120" s="2"/>
    </row>
    <row r="121" spans="1:12" ht="18.75" x14ac:dyDescent="0.25">
      <c r="A121" s="9"/>
      <c r="B121" s="8"/>
      <c r="C121" s="4"/>
      <c r="D121" s="15" t="s">
        <v>175</v>
      </c>
      <c r="E121" s="41" t="s">
        <v>140</v>
      </c>
      <c r="F121" s="41">
        <f>2</f>
        <v>2</v>
      </c>
      <c r="G121" s="13" t="s">
        <v>31</v>
      </c>
      <c r="H121" s="44">
        <f>3471.6/F121</f>
        <v>1735.8</v>
      </c>
      <c r="I121" s="66">
        <f>F121*H121</f>
        <v>3471.6</v>
      </c>
      <c r="J121" s="13" t="s">
        <v>118</v>
      </c>
      <c r="L121" s="2"/>
    </row>
    <row r="122" spans="1:12" ht="31.5" x14ac:dyDescent="0.25">
      <c r="A122" s="9" t="s">
        <v>21</v>
      </c>
      <c r="B122" s="8"/>
      <c r="C122" s="4"/>
      <c r="D122" s="15" t="s">
        <v>71</v>
      </c>
      <c r="E122" s="41" t="s">
        <v>140</v>
      </c>
      <c r="F122" s="41" t="s">
        <v>140</v>
      </c>
      <c r="G122" s="13" t="s">
        <v>143</v>
      </c>
      <c r="H122" s="41"/>
      <c r="I122" s="56" t="s">
        <v>140</v>
      </c>
      <c r="J122" s="13"/>
      <c r="L122" s="2"/>
    </row>
    <row r="123" spans="1:12" ht="18.75" x14ac:dyDescent="0.25">
      <c r="A123" s="46"/>
      <c r="B123" s="47"/>
      <c r="C123" s="22"/>
      <c r="D123" s="30"/>
      <c r="E123" s="45"/>
      <c r="F123" s="45"/>
      <c r="G123" s="31"/>
      <c r="H123" s="41"/>
      <c r="I123" s="58">
        <f>SUM(I108:I122)</f>
        <v>250214.06666666671</v>
      </c>
      <c r="J123" s="13"/>
      <c r="L123" s="2"/>
    </row>
    <row r="124" spans="1:12" ht="18.75" x14ac:dyDescent="0.3">
      <c r="A124" s="89" t="s">
        <v>73</v>
      </c>
      <c r="B124" s="90"/>
      <c r="C124" s="90"/>
      <c r="D124" s="90"/>
      <c r="E124" s="90"/>
      <c r="F124" s="90"/>
      <c r="G124" s="91"/>
      <c r="H124" s="13"/>
      <c r="I124" s="68"/>
      <c r="J124" s="13"/>
      <c r="L124" s="2"/>
    </row>
    <row r="125" spans="1:12" ht="37.5" x14ac:dyDescent="0.25">
      <c r="A125" s="9" t="s">
        <v>93</v>
      </c>
      <c r="B125" s="8"/>
      <c r="C125" s="4"/>
      <c r="D125" s="4" t="s">
        <v>129</v>
      </c>
      <c r="E125" s="31"/>
      <c r="F125" s="13">
        <f>12+12+97+8+10+8+9+17+12+12+12</f>
        <v>209</v>
      </c>
      <c r="G125" s="13" t="s">
        <v>115</v>
      </c>
      <c r="H125" s="33">
        <f>(8426.4+8426.4+6321.4+4946.2+5651.6+7064.6+5873.2+6607.2+12477.4+8921.6+8921.6+8921.6)/F125/3</f>
        <v>147.62232854864436</v>
      </c>
      <c r="I125" s="57">
        <f>F125*H125</f>
        <v>30853.066666666673</v>
      </c>
      <c r="J125" s="13" t="s">
        <v>116</v>
      </c>
      <c r="L125" s="2"/>
    </row>
    <row r="126" spans="1:12" ht="18.75" x14ac:dyDescent="0.25">
      <c r="A126" s="9" t="s">
        <v>84</v>
      </c>
      <c r="B126" s="8"/>
      <c r="C126" s="4"/>
      <c r="D126" s="15" t="s">
        <v>70</v>
      </c>
      <c r="E126" s="41" t="s">
        <v>140</v>
      </c>
      <c r="F126" s="41" t="s">
        <v>140</v>
      </c>
      <c r="G126" s="14" t="s">
        <v>55</v>
      </c>
      <c r="H126" s="41"/>
      <c r="I126" s="56" t="s">
        <v>140</v>
      </c>
      <c r="J126" s="13"/>
      <c r="L126" s="2"/>
    </row>
    <row r="127" spans="1:12" ht="18.75" x14ac:dyDescent="0.25">
      <c r="A127" s="9"/>
      <c r="B127" s="8"/>
      <c r="C127" s="4"/>
      <c r="D127" s="15" t="s">
        <v>238</v>
      </c>
      <c r="E127" s="41"/>
      <c r="F127" s="41">
        <f>1</f>
        <v>1</v>
      </c>
      <c r="G127" s="14" t="s">
        <v>55</v>
      </c>
      <c r="H127" s="41">
        <f>2477/F127</f>
        <v>2477</v>
      </c>
      <c r="I127" s="66">
        <f>F127*H127</f>
        <v>2477</v>
      </c>
      <c r="J127" s="13"/>
      <c r="L127" s="2"/>
    </row>
    <row r="128" spans="1:12" ht="31.5" x14ac:dyDescent="0.25">
      <c r="A128" s="9" t="s">
        <v>21</v>
      </c>
      <c r="B128" s="8"/>
      <c r="C128" s="4"/>
      <c r="D128" s="15" t="s">
        <v>71</v>
      </c>
      <c r="E128" s="41" t="s">
        <v>140</v>
      </c>
      <c r="F128" s="41" t="s">
        <v>140</v>
      </c>
      <c r="G128" s="14" t="s">
        <v>55</v>
      </c>
      <c r="H128" s="41"/>
      <c r="I128" s="56" t="s">
        <v>140</v>
      </c>
      <c r="J128" s="13"/>
      <c r="L128" s="2"/>
    </row>
    <row r="129" spans="1:12" ht="18.75" x14ac:dyDescent="0.25">
      <c r="A129" s="46"/>
      <c r="B129" s="47"/>
      <c r="C129" s="22"/>
      <c r="D129" s="30"/>
      <c r="E129" s="45"/>
      <c r="F129" s="45"/>
      <c r="G129" s="12"/>
      <c r="H129" s="41"/>
      <c r="I129" s="58">
        <f>SUM(I125:I128)</f>
        <v>33330.066666666673</v>
      </c>
      <c r="J129" s="13"/>
      <c r="L129" s="2"/>
    </row>
    <row r="130" spans="1:12" ht="18.75" x14ac:dyDescent="0.3">
      <c r="A130" s="89" t="s">
        <v>74</v>
      </c>
      <c r="B130" s="90"/>
      <c r="C130" s="90"/>
      <c r="D130" s="90"/>
      <c r="E130" s="90"/>
      <c r="F130" s="90"/>
      <c r="G130" s="91"/>
      <c r="H130" s="19"/>
      <c r="I130" s="68"/>
      <c r="J130" s="13"/>
      <c r="L130" s="2"/>
    </row>
    <row r="131" spans="1:12" ht="37.5" x14ac:dyDescent="0.25">
      <c r="A131" s="9" t="s">
        <v>99</v>
      </c>
      <c r="B131" s="8"/>
      <c r="C131" s="4"/>
      <c r="D131" s="4" t="s">
        <v>130</v>
      </c>
      <c r="E131" s="31"/>
      <c r="F131" s="13">
        <f>12+12+97+8+10+8+9+17+12+12+12</f>
        <v>209</v>
      </c>
      <c r="G131" s="13" t="s">
        <v>115</v>
      </c>
      <c r="H131" s="33">
        <f>(8426.4+8426.4+6321.4+4946.2+5651.6+7064.6+5873.2+6607.2+12477.4+8921.6+8921.6+8921.6)/F131/3</f>
        <v>147.62232854864436</v>
      </c>
      <c r="I131" s="57">
        <f>F131*H131</f>
        <v>30853.066666666673</v>
      </c>
      <c r="J131" s="13" t="s">
        <v>116</v>
      </c>
      <c r="L131" s="2"/>
    </row>
    <row r="132" spans="1:12" ht="31.5" x14ac:dyDescent="0.25">
      <c r="A132" s="9"/>
      <c r="B132" s="8"/>
      <c r="C132" s="4"/>
      <c r="D132" s="15" t="s">
        <v>122</v>
      </c>
      <c r="E132" s="41"/>
      <c r="F132" s="41">
        <f>1.5</f>
        <v>1.5</v>
      </c>
      <c r="G132" s="13" t="s">
        <v>30</v>
      </c>
      <c r="H132" s="44">
        <f>1948.2/F132</f>
        <v>1298.8</v>
      </c>
      <c r="I132" s="66">
        <f>F132*H132</f>
        <v>1948.1999999999998</v>
      </c>
      <c r="J132" s="13" t="s">
        <v>123</v>
      </c>
      <c r="L132" s="2"/>
    </row>
    <row r="133" spans="1:12" ht="18.75" x14ac:dyDescent="0.25">
      <c r="A133" s="9"/>
      <c r="B133" s="8"/>
      <c r="C133" s="4"/>
      <c r="D133" s="4" t="s">
        <v>114</v>
      </c>
      <c r="E133" s="41"/>
      <c r="F133" s="41">
        <f>15+4+4+8+7+7+7</f>
        <v>52</v>
      </c>
      <c r="G133" s="13" t="s">
        <v>30</v>
      </c>
      <c r="H133" s="44">
        <f>(5094+1359.2+1359.2+2832.8+2475.4+2475.4+2504.8)/F133</f>
        <v>348.09230769230766</v>
      </c>
      <c r="I133" s="56">
        <f>F133*H133</f>
        <v>18100.8</v>
      </c>
      <c r="J133" s="13" t="s">
        <v>116</v>
      </c>
      <c r="L133" s="2"/>
    </row>
    <row r="134" spans="1:12" ht="18.75" x14ac:dyDescent="0.25">
      <c r="A134" s="9"/>
      <c r="B134" s="8"/>
      <c r="C134" s="4"/>
      <c r="D134" s="4" t="s">
        <v>161</v>
      </c>
      <c r="E134" s="41"/>
      <c r="F134" s="41">
        <f>120+70+50+120+40+32+40+110+40</f>
        <v>622</v>
      </c>
      <c r="G134" s="13" t="s">
        <v>137</v>
      </c>
      <c r="H134" s="44">
        <f>(7824.4+4591.2+3280.2+7872.2+2724+2177.2+2724+7588.4+2759.6)/F134</f>
        <v>66.786495176848874</v>
      </c>
      <c r="I134" s="56">
        <f>F134*H134</f>
        <v>41541.199999999997</v>
      </c>
      <c r="J134" s="13" t="s">
        <v>116</v>
      </c>
      <c r="L134" s="2"/>
    </row>
    <row r="135" spans="1:12" ht="18.75" x14ac:dyDescent="0.25">
      <c r="A135" s="9" t="s">
        <v>22</v>
      </c>
      <c r="B135" s="8"/>
      <c r="C135" s="4"/>
      <c r="D135" s="4" t="s">
        <v>77</v>
      </c>
      <c r="E135" s="41" t="s">
        <v>140</v>
      </c>
      <c r="F135" s="41" t="s">
        <v>140</v>
      </c>
      <c r="G135" s="13" t="s">
        <v>30</v>
      </c>
      <c r="H135" s="41"/>
      <c r="I135" s="56" t="s">
        <v>140</v>
      </c>
      <c r="J135" s="13"/>
      <c r="L135" s="2"/>
    </row>
    <row r="136" spans="1:12" ht="18.75" x14ac:dyDescent="0.25">
      <c r="A136" s="46"/>
      <c r="B136" s="47"/>
      <c r="C136" s="22"/>
      <c r="D136" s="22"/>
      <c r="E136" s="45"/>
      <c r="F136" s="45"/>
      <c r="G136" s="31"/>
      <c r="H136" s="41"/>
      <c r="I136" s="58">
        <f>SUM(I131:I135)</f>
        <v>92443.266666666663</v>
      </c>
      <c r="J136" s="13"/>
      <c r="L136" s="2"/>
    </row>
    <row r="137" spans="1:12" ht="18.75" x14ac:dyDescent="0.3">
      <c r="A137" s="89" t="s">
        <v>79</v>
      </c>
      <c r="B137" s="90"/>
      <c r="C137" s="90"/>
      <c r="D137" s="90"/>
      <c r="E137" s="90"/>
      <c r="F137" s="90"/>
      <c r="G137" s="91"/>
      <c r="H137" s="5"/>
      <c r="I137" s="68"/>
      <c r="J137" s="13"/>
      <c r="L137" s="2"/>
    </row>
    <row r="138" spans="1:12" ht="38.25" customHeight="1" x14ac:dyDescent="0.25">
      <c r="A138" s="9" t="s">
        <v>23</v>
      </c>
      <c r="B138" s="5"/>
      <c r="C138" s="4"/>
      <c r="D138" s="15" t="s">
        <v>141</v>
      </c>
      <c r="E138" s="41" t="s">
        <v>140</v>
      </c>
      <c r="F138" s="41">
        <f>1</f>
        <v>1</v>
      </c>
      <c r="G138" s="13" t="s">
        <v>55</v>
      </c>
      <c r="H138" s="41">
        <f>6880.8/F138</f>
        <v>6880.8</v>
      </c>
      <c r="I138" s="66">
        <f>F138*H138</f>
        <v>6880.8</v>
      </c>
      <c r="J138" s="13" t="s">
        <v>123</v>
      </c>
      <c r="L138" s="2"/>
    </row>
    <row r="139" spans="1:12" ht="38.25" customHeight="1" x14ac:dyDescent="0.25">
      <c r="A139" s="9"/>
      <c r="B139" s="5"/>
      <c r="C139" s="4"/>
      <c r="D139" s="15" t="s">
        <v>231</v>
      </c>
      <c r="E139" s="41" t="s">
        <v>140</v>
      </c>
      <c r="F139" s="41">
        <f>8</f>
        <v>8</v>
      </c>
      <c r="G139" s="13" t="s">
        <v>173</v>
      </c>
      <c r="H139" s="41">
        <f>2062.8/F139</f>
        <v>257.85000000000002</v>
      </c>
      <c r="I139" s="80">
        <f>F139*H139</f>
        <v>2062.8000000000002</v>
      </c>
      <c r="J139" s="13" t="s">
        <v>118</v>
      </c>
      <c r="L139" s="2"/>
    </row>
    <row r="140" spans="1:12" ht="18.75" x14ac:dyDescent="0.25">
      <c r="A140" s="9" t="s">
        <v>24</v>
      </c>
      <c r="B140" s="5"/>
      <c r="C140" s="4"/>
      <c r="D140" s="4" t="s">
        <v>78</v>
      </c>
      <c r="E140" s="41" t="s">
        <v>140</v>
      </c>
      <c r="F140" s="41" t="s">
        <v>140</v>
      </c>
      <c r="G140" s="13" t="s">
        <v>55</v>
      </c>
      <c r="H140" s="41"/>
      <c r="I140" s="56" t="s">
        <v>140</v>
      </c>
      <c r="J140" s="13"/>
      <c r="L140" s="2"/>
    </row>
    <row r="141" spans="1:12" ht="18.75" x14ac:dyDescent="0.25">
      <c r="A141" s="9" t="s">
        <v>127</v>
      </c>
      <c r="B141" s="5"/>
      <c r="C141" s="4"/>
      <c r="D141" s="15" t="s">
        <v>210</v>
      </c>
      <c r="E141" s="41" t="s">
        <v>140</v>
      </c>
      <c r="F141" s="41">
        <f>15</f>
        <v>15</v>
      </c>
      <c r="G141" s="13" t="s">
        <v>55</v>
      </c>
      <c r="H141" s="44">
        <f>851.6/F141</f>
        <v>56.773333333333333</v>
      </c>
      <c r="I141" s="66">
        <f>F141*H141</f>
        <v>851.6</v>
      </c>
      <c r="J141" s="13" t="s">
        <v>146</v>
      </c>
      <c r="L141" s="2"/>
    </row>
    <row r="142" spans="1:12" ht="18.75" x14ac:dyDescent="0.25">
      <c r="A142" s="9"/>
      <c r="B142" s="5"/>
      <c r="C142" s="4"/>
      <c r="D142" s="15" t="s">
        <v>211</v>
      </c>
      <c r="E142" s="41" t="s">
        <v>140</v>
      </c>
      <c r="F142" s="41">
        <f>15</f>
        <v>15</v>
      </c>
      <c r="G142" s="13" t="s">
        <v>55</v>
      </c>
      <c r="H142" s="44">
        <f>30030/F142</f>
        <v>2002</v>
      </c>
      <c r="I142" s="66">
        <f>F142*H142</f>
        <v>30030</v>
      </c>
      <c r="J142" s="13" t="s">
        <v>146</v>
      </c>
      <c r="L142" s="2"/>
    </row>
    <row r="143" spans="1:12" ht="18.75" x14ac:dyDescent="0.25">
      <c r="A143" s="9"/>
      <c r="B143" s="5"/>
      <c r="C143" s="4"/>
      <c r="D143" s="15" t="s">
        <v>212</v>
      </c>
      <c r="E143" s="41"/>
      <c r="F143" s="41">
        <f>62</f>
        <v>62</v>
      </c>
      <c r="G143" s="13" t="s">
        <v>144</v>
      </c>
      <c r="H143" s="44">
        <f>17663.4/F143</f>
        <v>284.89354838709681</v>
      </c>
      <c r="I143" s="66">
        <f>F143*H143</f>
        <v>17663.400000000001</v>
      </c>
      <c r="J143" s="13" t="s">
        <v>146</v>
      </c>
      <c r="L143" s="2"/>
    </row>
    <row r="144" spans="1:12" ht="18.75" x14ac:dyDescent="0.25">
      <c r="A144" s="9"/>
      <c r="B144" s="5"/>
      <c r="C144" s="4"/>
      <c r="D144" s="15" t="s">
        <v>213</v>
      </c>
      <c r="E144" s="41"/>
      <c r="F144" s="41">
        <v>10</v>
      </c>
      <c r="G144" s="13" t="s">
        <v>144</v>
      </c>
      <c r="H144" s="44">
        <f>3807.6/F144</f>
        <v>380.76</v>
      </c>
      <c r="I144" s="66">
        <f>F144*H144</f>
        <v>3807.6</v>
      </c>
      <c r="J144" s="13" t="s">
        <v>146</v>
      </c>
      <c r="L144" s="2"/>
    </row>
    <row r="145" spans="1:12" ht="18.75" x14ac:dyDescent="0.25">
      <c r="A145" s="9"/>
      <c r="B145" s="5"/>
      <c r="C145" s="4"/>
      <c r="D145" s="15" t="s">
        <v>108</v>
      </c>
      <c r="E145" s="32"/>
      <c r="F145" s="13">
        <f>2+2+1+1+2+3+3+3+2+3+1</f>
        <v>23</v>
      </c>
      <c r="G145" s="13" t="s">
        <v>55</v>
      </c>
      <c r="H145" s="33">
        <f>(414.8+414.8+208.4+208.4+338+507.8+516+516+343+518+172)/F145</f>
        <v>180.74782608695656</v>
      </c>
      <c r="I145" s="59">
        <f t="shared" ref="I145" si="8">F145*H145</f>
        <v>4157.2000000000007</v>
      </c>
      <c r="J145" s="13" t="s">
        <v>116</v>
      </c>
      <c r="L145" s="2"/>
    </row>
    <row r="146" spans="1:12" ht="18.75" x14ac:dyDescent="0.25">
      <c r="A146" s="9"/>
      <c r="B146" s="5"/>
      <c r="C146" s="4"/>
      <c r="D146" s="15" t="s">
        <v>165</v>
      </c>
      <c r="E146" s="41"/>
      <c r="F146" s="41"/>
      <c r="G146" s="13" t="s">
        <v>31</v>
      </c>
      <c r="H146" s="41"/>
      <c r="I146" s="56"/>
      <c r="J146" s="13"/>
      <c r="L146" s="2"/>
    </row>
    <row r="147" spans="1:12" ht="56.25" x14ac:dyDescent="0.25">
      <c r="A147" s="9" t="s">
        <v>109</v>
      </c>
      <c r="B147" s="5"/>
      <c r="C147" s="4"/>
      <c r="D147" s="15" t="s">
        <v>125</v>
      </c>
      <c r="E147" s="32"/>
      <c r="F147" s="13">
        <f>54+54+54+54+54+54+54+54+54+54+54+54</f>
        <v>648</v>
      </c>
      <c r="G147" s="13" t="s">
        <v>110</v>
      </c>
      <c r="H147" s="33">
        <f>(2367.4+2367.4+2367.4+2367.4+2381.6+2381.6+2474.4+2474+2474.4+2505+2505+2505)/F147</f>
        <v>45.016358024691364</v>
      </c>
      <c r="I147" s="59">
        <f>F147*H147</f>
        <v>29170.600000000002</v>
      </c>
      <c r="J147" s="13" t="s">
        <v>116</v>
      </c>
      <c r="L147" s="2"/>
    </row>
    <row r="148" spans="1:12" ht="18.75" x14ac:dyDescent="0.25">
      <c r="A148" s="46"/>
      <c r="B148" s="22"/>
      <c r="C148" s="22"/>
      <c r="D148" s="30"/>
      <c r="E148" s="48"/>
      <c r="F148" s="49"/>
      <c r="G148" s="31"/>
      <c r="H148" s="31"/>
      <c r="I148" s="59">
        <f>SUM(I138:I147)</f>
        <v>94624</v>
      </c>
      <c r="J148" s="13"/>
      <c r="L148" s="2"/>
    </row>
    <row r="149" spans="1:12" ht="18.75" x14ac:dyDescent="0.25">
      <c r="A149" s="97" t="s">
        <v>92</v>
      </c>
      <c r="B149" s="98"/>
      <c r="C149" s="98"/>
      <c r="D149" s="98"/>
      <c r="E149" s="98"/>
      <c r="F149" s="98"/>
      <c r="G149" s="99"/>
      <c r="H149" s="12"/>
      <c r="I149" s="68"/>
      <c r="J149" s="13"/>
      <c r="L149" s="2"/>
    </row>
    <row r="150" spans="1:12" ht="18.75" x14ac:dyDescent="0.25">
      <c r="A150" s="26"/>
      <c r="B150" s="27"/>
      <c r="C150" s="27"/>
      <c r="D150" s="36" t="s">
        <v>117</v>
      </c>
      <c r="E150" s="41"/>
      <c r="F150" s="41">
        <f>2+8+2+2</f>
        <v>14</v>
      </c>
      <c r="G150" s="38" t="s">
        <v>31</v>
      </c>
      <c r="H150" s="44">
        <f>(2633+10520+2710.2+2739.8)/F150</f>
        <v>1328.7857142857142</v>
      </c>
      <c r="I150" s="56">
        <f>F150*H150</f>
        <v>18603</v>
      </c>
      <c r="J150" s="13" t="s">
        <v>146</v>
      </c>
      <c r="L150" s="2"/>
    </row>
    <row r="151" spans="1:12" ht="18.75" x14ac:dyDescent="0.25">
      <c r="A151" s="81"/>
      <c r="B151" s="82"/>
      <c r="C151" s="82"/>
      <c r="D151" s="36" t="s">
        <v>117</v>
      </c>
      <c r="E151" s="41"/>
      <c r="F151" s="41">
        <f>5</f>
        <v>5</v>
      </c>
      <c r="G151" s="38" t="s">
        <v>31</v>
      </c>
      <c r="H151" s="44">
        <f>6776.6/F151</f>
        <v>1355.3200000000002</v>
      </c>
      <c r="I151" s="80">
        <f>F151*H151</f>
        <v>6776.6</v>
      </c>
      <c r="J151" s="13" t="s">
        <v>118</v>
      </c>
      <c r="L151" s="2"/>
    </row>
    <row r="152" spans="1:12" ht="18.75" x14ac:dyDescent="0.25">
      <c r="A152" s="61"/>
      <c r="B152" s="62"/>
      <c r="C152" s="62"/>
      <c r="D152" s="36" t="s">
        <v>196</v>
      </c>
      <c r="E152" s="53"/>
      <c r="F152" s="53">
        <v>0.35</v>
      </c>
      <c r="G152" s="32" t="s">
        <v>195</v>
      </c>
      <c r="H152" s="44">
        <f>8845.8/F152</f>
        <v>25273.714285714286</v>
      </c>
      <c r="I152" s="66">
        <f>F152*H152</f>
        <v>8845.7999999999993</v>
      </c>
      <c r="J152" s="13" t="s">
        <v>146</v>
      </c>
      <c r="L152" s="2"/>
    </row>
    <row r="153" spans="1:12" ht="18.75" x14ac:dyDescent="0.25">
      <c r="A153" s="61"/>
      <c r="B153" s="62"/>
      <c r="C153" s="62"/>
      <c r="D153" s="77" t="s">
        <v>197</v>
      </c>
      <c r="E153" s="78"/>
      <c r="F153" s="53">
        <v>0.56000000000000005</v>
      </c>
      <c r="G153" s="32" t="s">
        <v>113</v>
      </c>
      <c r="H153" s="44">
        <f>3370.6/F153</f>
        <v>6018.9285714285706</v>
      </c>
      <c r="I153" s="66">
        <f>F153*H153</f>
        <v>3370.6</v>
      </c>
      <c r="J153" s="13" t="s">
        <v>146</v>
      </c>
      <c r="L153" s="2"/>
    </row>
    <row r="154" spans="1:12" ht="63" x14ac:dyDescent="0.25">
      <c r="A154" s="9" t="s">
        <v>90</v>
      </c>
      <c r="B154" s="22"/>
      <c r="C154" s="22"/>
      <c r="D154" s="23" t="s">
        <v>119</v>
      </c>
      <c r="E154" s="37"/>
      <c r="F154" s="13">
        <v>876</v>
      </c>
      <c r="G154" s="31" t="s">
        <v>91</v>
      </c>
      <c r="H154" s="31">
        <v>4.8</v>
      </c>
      <c r="I154" s="59">
        <f>F154*H154*12</f>
        <v>50457.600000000006</v>
      </c>
      <c r="J154" s="13" t="s">
        <v>116</v>
      </c>
      <c r="L154" s="2"/>
    </row>
    <row r="155" spans="1:12" ht="18.75" x14ac:dyDescent="0.25">
      <c r="A155" s="46"/>
      <c r="B155" s="22"/>
      <c r="C155" s="22"/>
      <c r="D155" s="30"/>
      <c r="E155" s="48"/>
      <c r="F155" s="49"/>
      <c r="G155" s="31"/>
      <c r="H155" s="31"/>
      <c r="I155" s="59">
        <f>SUM(I150:I154)</f>
        <v>88053.6</v>
      </c>
      <c r="J155" s="13"/>
      <c r="L155" s="2"/>
    </row>
    <row r="156" spans="1:12" ht="18.75" x14ac:dyDescent="0.3">
      <c r="A156" s="89" t="s">
        <v>80</v>
      </c>
      <c r="B156" s="90"/>
      <c r="C156" s="90"/>
      <c r="D156" s="90"/>
      <c r="E156" s="90"/>
      <c r="F156" s="90"/>
      <c r="G156" s="91"/>
      <c r="H156" s="19"/>
      <c r="I156" s="68"/>
      <c r="J156" s="13"/>
      <c r="L156" s="2"/>
    </row>
    <row r="157" spans="1:12" ht="46.5" customHeight="1" x14ac:dyDescent="0.3">
      <c r="A157" s="34" t="s">
        <v>132</v>
      </c>
      <c r="B157" s="24"/>
      <c r="C157" s="24"/>
      <c r="D157" s="35" t="s">
        <v>131</v>
      </c>
      <c r="E157" s="13"/>
      <c r="F157" s="13">
        <v>432</v>
      </c>
      <c r="G157" s="13" t="s">
        <v>139</v>
      </c>
      <c r="H157" s="13">
        <v>13</v>
      </c>
      <c r="I157" s="59">
        <f>F157*H157*3</f>
        <v>16848</v>
      </c>
      <c r="J157" s="13" t="s">
        <v>147</v>
      </c>
      <c r="L157" s="2"/>
    </row>
    <row r="158" spans="1:12" ht="18.75" x14ac:dyDescent="0.25">
      <c r="A158" s="9" t="s">
        <v>25</v>
      </c>
      <c r="B158" s="5"/>
      <c r="C158" s="4"/>
      <c r="D158" s="4" t="s">
        <v>76</v>
      </c>
      <c r="E158" s="41" t="s">
        <v>140</v>
      </c>
      <c r="F158" s="41" t="s">
        <v>140</v>
      </c>
      <c r="G158" s="14" t="s">
        <v>55</v>
      </c>
      <c r="H158" s="41" t="s">
        <v>140</v>
      </c>
      <c r="I158" s="56" t="s">
        <v>140</v>
      </c>
      <c r="J158" s="13"/>
      <c r="L158" s="2"/>
    </row>
    <row r="159" spans="1:12" ht="47.25" x14ac:dyDescent="0.25">
      <c r="A159" s="9" t="s">
        <v>26</v>
      </c>
      <c r="B159" s="5"/>
      <c r="C159" s="4"/>
      <c r="D159" s="15" t="s">
        <v>28</v>
      </c>
      <c r="E159" s="41" t="s">
        <v>140</v>
      </c>
      <c r="F159" s="41" t="s">
        <v>140</v>
      </c>
      <c r="G159" s="14" t="s">
        <v>55</v>
      </c>
      <c r="H159" s="41" t="s">
        <v>140</v>
      </c>
      <c r="I159" s="56" t="s">
        <v>140</v>
      </c>
      <c r="J159" s="13"/>
      <c r="L159" s="2"/>
    </row>
    <row r="160" spans="1:12" ht="31.5" x14ac:dyDescent="0.25">
      <c r="A160" s="9" t="s">
        <v>27</v>
      </c>
      <c r="B160" s="5"/>
      <c r="C160" s="4"/>
      <c r="D160" s="15" t="s">
        <v>75</v>
      </c>
      <c r="E160" s="41" t="s">
        <v>140</v>
      </c>
      <c r="F160" s="41" t="s">
        <v>140</v>
      </c>
      <c r="G160" s="14" t="s">
        <v>55</v>
      </c>
      <c r="H160" s="41" t="s">
        <v>140</v>
      </c>
      <c r="I160" s="56" t="s">
        <v>140</v>
      </c>
      <c r="J160" s="13"/>
      <c r="L160" s="2"/>
    </row>
    <row r="161" spans="1:12" ht="18.75" x14ac:dyDescent="0.25">
      <c r="A161" s="46"/>
      <c r="B161" s="22"/>
      <c r="C161" s="22"/>
      <c r="D161" s="30"/>
      <c r="E161" s="45"/>
      <c r="F161" s="45"/>
      <c r="G161" s="12"/>
      <c r="H161" s="53"/>
      <c r="I161" s="69">
        <f>SUM(I157:I160)</f>
        <v>16848</v>
      </c>
      <c r="J161" s="13"/>
      <c r="L161" s="2"/>
    </row>
    <row r="162" spans="1:12" ht="18.75" x14ac:dyDescent="0.3">
      <c r="A162" s="89" t="s">
        <v>85</v>
      </c>
      <c r="B162" s="90"/>
      <c r="C162" s="90"/>
      <c r="D162" s="90"/>
      <c r="E162" s="90"/>
      <c r="F162" s="90"/>
      <c r="G162" s="91"/>
      <c r="H162" s="2"/>
      <c r="I162" s="25"/>
      <c r="J162" s="2"/>
      <c r="K162" s="2"/>
      <c r="L162" s="2"/>
    </row>
    <row r="163" spans="1:12" ht="48" x14ac:dyDescent="0.3">
      <c r="A163" s="6" t="s">
        <v>67</v>
      </c>
      <c r="B163" s="6"/>
      <c r="C163" s="4"/>
      <c r="D163" s="15" t="s">
        <v>86</v>
      </c>
      <c r="E163" s="41" t="s">
        <v>140</v>
      </c>
      <c r="F163" s="41"/>
      <c r="G163" s="13" t="s">
        <v>30</v>
      </c>
      <c r="H163" s="41"/>
      <c r="I163" s="56"/>
      <c r="J163" s="13"/>
      <c r="L163" s="2"/>
    </row>
    <row r="164" spans="1:12" ht="32.25" x14ac:dyDescent="0.3">
      <c r="A164" s="28"/>
      <c r="B164" s="29"/>
      <c r="C164" s="22"/>
      <c r="D164" s="40" t="s">
        <v>111</v>
      </c>
      <c r="E164" s="41"/>
      <c r="F164" s="41">
        <v>1</v>
      </c>
      <c r="G164" s="13" t="s">
        <v>112</v>
      </c>
      <c r="H164" s="41">
        <v>22950</v>
      </c>
      <c r="I164" s="70">
        <f>F164*H164</f>
        <v>22950</v>
      </c>
      <c r="J164" s="39" t="s">
        <v>118</v>
      </c>
      <c r="L164" s="2"/>
    </row>
    <row r="165" spans="1:12" ht="18.75" x14ac:dyDescent="0.3">
      <c r="A165" s="28"/>
      <c r="B165" s="29"/>
      <c r="C165" s="22"/>
      <c r="D165" s="30"/>
      <c r="E165" s="45"/>
      <c r="F165" s="45"/>
      <c r="G165" s="31"/>
      <c r="H165" s="45"/>
      <c r="I165" s="71">
        <f>SUM(I164:I164)</f>
        <v>22950</v>
      </c>
      <c r="J165" s="50"/>
      <c r="L165" s="2"/>
    </row>
    <row r="166" spans="1:12" ht="18.75" x14ac:dyDescent="0.3">
      <c r="A166" s="89" t="s">
        <v>100</v>
      </c>
      <c r="B166" s="90"/>
      <c r="C166" s="90"/>
      <c r="D166" s="90"/>
      <c r="E166" s="90"/>
      <c r="F166" s="90"/>
      <c r="G166" s="91"/>
      <c r="H166" s="92"/>
      <c r="I166" s="92"/>
      <c r="J166" s="92"/>
      <c r="L166" s="2"/>
    </row>
    <row r="167" spans="1:12" ht="32.25" x14ac:dyDescent="0.3">
      <c r="A167" s="34" t="s">
        <v>145</v>
      </c>
      <c r="B167" s="24"/>
      <c r="C167" s="24"/>
      <c r="D167" s="40" t="s">
        <v>134</v>
      </c>
      <c r="E167" s="13"/>
      <c r="F167" s="13"/>
      <c r="G167" s="13" t="s">
        <v>135</v>
      </c>
      <c r="H167" s="13"/>
      <c r="I167" s="57"/>
      <c r="J167" s="13"/>
      <c r="L167" s="2"/>
    </row>
    <row r="168" spans="1:12" ht="48" x14ac:dyDescent="0.3">
      <c r="A168" s="24"/>
      <c r="B168" s="24"/>
      <c r="C168" s="24"/>
      <c r="D168" s="40" t="s">
        <v>136</v>
      </c>
      <c r="E168" s="41"/>
      <c r="F168" s="41">
        <f>25</f>
        <v>25</v>
      </c>
      <c r="G168" s="13" t="s">
        <v>137</v>
      </c>
      <c r="H168" s="44">
        <f>17500/F168</f>
        <v>700</v>
      </c>
      <c r="I168" s="64">
        <f>F168*H168</f>
        <v>17500</v>
      </c>
      <c r="J168" s="13" t="s">
        <v>124</v>
      </c>
      <c r="L168" s="2"/>
    </row>
    <row r="169" spans="1:12" ht="32.25" x14ac:dyDescent="0.3">
      <c r="A169" s="24"/>
      <c r="B169" s="24"/>
      <c r="C169" s="24"/>
      <c r="D169" s="40" t="s">
        <v>170</v>
      </c>
      <c r="E169" s="13"/>
      <c r="F169" s="13">
        <f>90</f>
        <v>90</v>
      </c>
      <c r="G169" s="13" t="s">
        <v>138</v>
      </c>
      <c r="H169" s="33">
        <f>4125/F169</f>
        <v>45.833333333333336</v>
      </c>
      <c r="I169" s="63">
        <f t="shared" ref="I169" si="9">F169*H169</f>
        <v>4125</v>
      </c>
      <c r="J169" s="13" t="s">
        <v>124</v>
      </c>
      <c r="L169" s="2"/>
    </row>
    <row r="170" spans="1:12" ht="32.25" x14ac:dyDescent="0.3">
      <c r="A170" s="24"/>
      <c r="B170" s="24"/>
      <c r="C170" s="24"/>
      <c r="D170" s="40" t="s">
        <v>171</v>
      </c>
      <c r="E170" s="13"/>
      <c r="F170" s="13"/>
      <c r="G170" s="13" t="s">
        <v>138</v>
      </c>
      <c r="H170" s="33"/>
      <c r="I170" s="57"/>
      <c r="J170" s="13"/>
      <c r="L170" s="2"/>
    </row>
    <row r="171" spans="1:12" ht="18.75" x14ac:dyDescent="0.3">
      <c r="A171" s="24"/>
      <c r="B171" s="24"/>
      <c r="C171" s="24"/>
      <c r="D171" s="40" t="s">
        <v>232</v>
      </c>
      <c r="E171" s="13"/>
      <c r="F171" s="13">
        <v>1.5</v>
      </c>
      <c r="G171" s="13" t="s">
        <v>113</v>
      </c>
      <c r="H171" s="33">
        <f>16266.8/F171</f>
        <v>10844.533333333333</v>
      </c>
      <c r="I171" s="65">
        <f t="shared" ref="I171" si="10">F171*H171</f>
        <v>16266.8</v>
      </c>
      <c r="J171" s="13" t="s">
        <v>123</v>
      </c>
      <c r="L171" s="2"/>
    </row>
    <row r="172" spans="1:12" ht="32.25" x14ac:dyDescent="0.3">
      <c r="A172" s="24"/>
      <c r="B172" s="24"/>
      <c r="C172" s="24"/>
      <c r="D172" s="40" t="s">
        <v>237</v>
      </c>
      <c r="E172" s="13"/>
      <c r="F172" s="13">
        <v>2.5</v>
      </c>
      <c r="G172" s="13" t="s">
        <v>144</v>
      </c>
      <c r="H172" s="13">
        <f>9075.6/F172</f>
        <v>3630.2400000000002</v>
      </c>
      <c r="I172" s="65">
        <f>F172*H172</f>
        <v>9075.6</v>
      </c>
      <c r="J172" s="13" t="s">
        <v>123</v>
      </c>
      <c r="L172" s="2"/>
    </row>
    <row r="173" spans="1:12" ht="18.75" x14ac:dyDescent="0.3">
      <c r="A173" s="24"/>
      <c r="B173" s="24"/>
      <c r="C173" s="24"/>
      <c r="D173" s="40" t="s">
        <v>232</v>
      </c>
      <c r="E173" s="13"/>
      <c r="F173" s="13">
        <f>1</f>
        <v>1</v>
      </c>
      <c r="G173" s="13" t="s">
        <v>113</v>
      </c>
      <c r="H173" s="33">
        <f>11010/F173</f>
        <v>11010</v>
      </c>
      <c r="I173" s="65">
        <f>F173*H173</f>
        <v>11010</v>
      </c>
      <c r="J173" s="13" t="s">
        <v>123</v>
      </c>
      <c r="L173" s="2"/>
    </row>
    <row r="174" spans="1:12" ht="18.75" x14ac:dyDescent="0.3">
      <c r="A174" s="24"/>
      <c r="B174" s="24"/>
      <c r="C174" s="24"/>
      <c r="D174" s="40" t="s">
        <v>216</v>
      </c>
      <c r="E174" s="13"/>
      <c r="F174" s="13">
        <v>2</v>
      </c>
      <c r="G174" s="13" t="s">
        <v>217</v>
      </c>
      <c r="H174" s="33">
        <f>30623.8/F174</f>
        <v>15311.9</v>
      </c>
      <c r="I174" s="65">
        <f>F174*H174</f>
        <v>30623.8</v>
      </c>
      <c r="J174" s="13" t="s">
        <v>123</v>
      </c>
      <c r="L174" s="2"/>
    </row>
    <row r="175" spans="1:12" ht="18.75" x14ac:dyDescent="0.3">
      <c r="A175" s="24"/>
      <c r="B175" s="24"/>
      <c r="C175" s="24"/>
      <c r="D175" s="40" t="s">
        <v>194</v>
      </c>
      <c r="E175" s="13"/>
      <c r="F175" s="13">
        <f>1</f>
        <v>1</v>
      </c>
      <c r="G175" s="13" t="s">
        <v>31</v>
      </c>
      <c r="H175" s="13">
        <f>1170/F175</f>
        <v>1170</v>
      </c>
      <c r="I175" s="65">
        <f t="shared" ref="I175:I178" si="11">F175*H175</f>
        <v>1170</v>
      </c>
      <c r="J175" s="13" t="s">
        <v>123</v>
      </c>
      <c r="L175" s="2"/>
    </row>
    <row r="176" spans="1:12" ht="18.75" x14ac:dyDescent="0.3">
      <c r="A176" s="24"/>
      <c r="B176" s="24"/>
      <c r="C176" s="24"/>
      <c r="D176" s="40" t="s">
        <v>222</v>
      </c>
      <c r="E176" s="13"/>
      <c r="F176" s="13">
        <v>12</v>
      </c>
      <c r="G176" s="13" t="s">
        <v>137</v>
      </c>
      <c r="H176" s="33">
        <f>10912/F176</f>
        <v>909.33333333333337</v>
      </c>
      <c r="I176" s="65">
        <f t="shared" si="11"/>
        <v>10912</v>
      </c>
      <c r="J176" s="13" t="s">
        <v>123</v>
      </c>
      <c r="L176" s="2"/>
    </row>
    <row r="177" spans="1:12" ht="32.25" x14ac:dyDescent="0.3">
      <c r="A177" s="24"/>
      <c r="B177" s="24"/>
      <c r="C177" s="24"/>
      <c r="D177" s="40" t="s">
        <v>215</v>
      </c>
      <c r="E177" s="13"/>
      <c r="F177" s="13">
        <v>1.5</v>
      </c>
      <c r="G177" s="13" t="s">
        <v>137</v>
      </c>
      <c r="H177" s="33">
        <f>6302/F177</f>
        <v>4201.333333333333</v>
      </c>
      <c r="I177" s="65">
        <f t="shared" si="11"/>
        <v>6302</v>
      </c>
      <c r="J177" s="13" t="s">
        <v>123</v>
      </c>
      <c r="L177" s="2"/>
    </row>
    <row r="178" spans="1:12" ht="32.25" x14ac:dyDescent="0.3">
      <c r="A178" s="34" t="s">
        <v>152</v>
      </c>
      <c r="B178" s="14"/>
      <c r="C178" s="14"/>
      <c r="D178" s="40" t="s">
        <v>221</v>
      </c>
      <c r="E178" s="13"/>
      <c r="F178" s="13">
        <f>2</f>
        <v>2</v>
      </c>
      <c r="G178" s="13" t="s">
        <v>31</v>
      </c>
      <c r="H178" s="13">
        <f>45254/F178</f>
        <v>22627</v>
      </c>
      <c r="I178" s="65">
        <f t="shared" si="11"/>
        <v>45254</v>
      </c>
      <c r="J178" s="14" t="s">
        <v>123</v>
      </c>
      <c r="L178" s="2"/>
    </row>
    <row r="179" spans="1:12" ht="18.75" x14ac:dyDescent="0.3">
      <c r="A179" s="34"/>
      <c r="B179" s="14"/>
      <c r="C179" s="14"/>
      <c r="D179" s="43"/>
      <c r="E179" s="14"/>
      <c r="F179" s="14"/>
      <c r="G179" s="38"/>
      <c r="H179" s="14"/>
      <c r="I179" s="60">
        <f>SUM(I167:I178)</f>
        <v>152239.20000000001</v>
      </c>
      <c r="J179" s="14"/>
      <c r="L179" s="2"/>
    </row>
    <row r="180" spans="1:12" ht="15.75" x14ac:dyDescent="0.25">
      <c r="A180" s="72" t="s">
        <v>192</v>
      </c>
      <c r="B180" s="73"/>
      <c r="C180" s="73"/>
      <c r="D180" s="74"/>
      <c r="E180" s="73"/>
      <c r="F180" s="73"/>
      <c r="G180" s="75"/>
      <c r="H180" s="73"/>
      <c r="I180" s="76">
        <f>I6+I7+I8+I9+I10+I11+I26+I27+I28+I31+I32+I36+I37+I43+I47+I48+I49+I50+I51+I52+I53+I54+I55+I56+I57+I58+I60+I61+I63+I64+I65+I66+I67+I69+I70+I71+I72+I73+I74+I76+I77+I78+I82+I83+I87+I88+I91+I92+I93+I94+I95+I96+I97+I100+I102+I103+I110+I111+I112+I113+I114+I115+I117+I118+I120+I121+I127+I132+I138+I139+I141+I142+I143+I144+I151+I152+I153+I168+I169+I171+I172+I173+I174+I175+I176+I177+I178</f>
        <v>3664602.1999999997</v>
      </c>
      <c r="J180" s="14"/>
      <c r="K180" s="79"/>
      <c r="L180" s="85"/>
    </row>
    <row r="181" spans="1:12" ht="15.75" x14ac:dyDescent="0.25">
      <c r="A181" s="51" t="s">
        <v>169</v>
      </c>
      <c r="B181" s="25"/>
      <c r="C181" s="25"/>
      <c r="D181" s="43"/>
      <c r="E181" s="13"/>
      <c r="F181" s="13"/>
      <c r="G181" s="38"/>
      <c r="H181" s="13"/>
      <c r="I181" s="52">
        <f>I179+I165+I161+I155+I148+I136+I129+I123+I106+I84+I45+I21</f>
        <v>4381290.2</v>
      </c>
      <c r="J181" s="14"/>
      <c r="K181" s="2"/>
      <c r="L181" s="2"/>
    </row>
    <row r="182" spans="1:12" ht="99.75" customHeight="1" x14ac:dyDescent="0.25">
      <c r="A182" s="86" t="s">
        <v>107</v>
      </c>
      <c r="B182" s="86"/>
      <c r="C182" s="86"/>
      <c r="D182" s="86"/>
      <c r="E182" s="86"/>
      <c r="F182" s="86"/>
      <c r="G182" s="86"/>
      <c r="H182" s="86"/>
      <c r="I182" s="86"/>
      <c r="J182" s="86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55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55"/>
      <c r="H186" s="2"/>
      <c r="I186" s="55"/>
      <c r="J186" s="2"/>
      <c r="K186" s="55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55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55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55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55"/>
      <c r="H190" s="2"/>
      <c r="I190" s="55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</sheetData>
  <mergeCells count="16">
    <mergeCell ref="A182:J182"/>
    <mergeCell ref="A2:J2"/>
    <mergeCell ref="A166:G166"/>
    <mergeCell ref="H166:J166"/>
    <mergeCell ref="I1:J1"/>
    <mergeCell ref="A124:G124"/>
    <mergeCell ref="A137:G137"/>
    <mergeCell ref="A162:G162"/>
    <mergeCell ref="A46:G46"/>
    <mergeCell ref="A22:G22"/>
    <mergeCell ref="A4:G4"/>
    <mergeCell ref="A149:G149"/>
    <mergeCell ref="A85:G85"/>
    <mergeCell ref="A107:G107"/>
    <mergeCell ref="A130:G130"/>
    <mergeCell ref="A156:G156"/>
  </mergeCells>
  <pageMargins left="0.78740157480314965" right="0.70866141732283472" top="0" bottom="0.59055118110236227" header="0" footer="0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2025-01-30T12:57:15Z</cp:lastPrinted>
  <dcterms:created xsi:type="dcterms:W3CDTF">2017-05-29T12:14:13Z</dcterms:created>
  <dcterms:modified xsi:type="dcterms:W3CDTF">2025-03-14T04:52:13Z</dcterms:modified>
</cp:coreProperties>
</file>