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45" i="1" l="1"/>
  <c r="I141" i="1"/>
  <c r="F81" i="1" l="1"/>
  <c r="H81" i="1" s="1"/>
  <c r="F95" i="1"/>
  <c r="H95" i="1" s="1"/>
  <c r="F73" i="1"/>
  <c r="H73" i="1" s="1"/>
  <c r="F71" i="1"/>
  <c r="H71" i="1" s="1"/>
  <c r="F70" i="1"/>
  <c r="H70" i="1" s="1"/>
  <c r="F69" i="1"/>
  <c r="H69" i="1" s="1"/>
  <c r="F68" i="1"/>
  <c r="H68" i="1" s="1"/>
  <c r="F67" i="1"/>
  <c r="H67" i="1" s="1"/>
  <c r="F114" i="1"/>
  <c r="H114" i="1" s="1"/>
  <c r="F113" i="1"/>
  <c r="H113" i="1" s="1"/>
  <c r="F100" i="1"/>
  <c r="H100" i="1" s="1"/>
  <c r="H63" i="1"/>
  <c r="F66" i="1"/>
  <c r="H66" i="1" s="1"/>
  <c r="I81" i="1" l="1"/>
  <c r="I95" i="1"/>
  <c r="F46" i="1"/>
  <c r="H46" i="1" s="1"/>
  <c r="F6" i="1"/>
  <c r="H6" i="1" s="1"/>
  <c r="F103" i="1"/>
  <c r="H103" i="1" s="1"/>
  <c r="H82" i="1"/>
  <c r="H141" i="1"/>
  <c r="F47" i="1"/>
  <c r="H47" i="1" s="1"/>
  <c r="I6" i="1" l="1"/>
  <c r="I82" i="1"/>
  <c r="F20" i="1"/>
  <c r="F62" i="1"/>
  <c r="H62" i="1" s="1"/>
  <c r="I62" i="1" l="1"/>
  <c r="F23" i="1" l="1"/>
  <c r="H23" i="1" s="1"/>
  <c r="F22" i="1"/>
  <c r="H22" i="1" s="1"/>
  <c r="H20" i="1"/>
  <c r="F7" i="1"/>
  <c r="H7" i="1" s="1"/>
  <c r="F45" i="1"/>
  <c r="H45" i="1" s="1"/>
  <c r="F135" i="1"/>
  <c r="H135" i="1" s="1"/>
  <c r="F101" i="1"/>
  <c r="H101" i="1" s="1"/>
  <c r="I23" i="1" l="1"/>
  <c r="F117" i="1"/>
  <c r="H117" i="1" s="1"/>
  <c r="F33" i="1" l="1"/>
  <c r="H33" i="1" s="1"/>
  <c r="F32" i="1"/>
  <c r="H32" i="1" s="1"/>
  <c r="H31" i="1"/>
  <c r="I31" i="1" s="1"/>
  <c r="F30" i="1"/>
  <c r="F51" i="1"/>
  <c r="H51" i="1" s="1"/>
  <c r="F50" i="1"/>
  <c r="H50" i="1" s="1"/>
  <c r="F49" i="1"/>
  <c r="H49" i="1" s="1"/>
  <c r="H30" i="1" l="1"/>
  <c r="I30" i="1" s="1"/>
  <c r="I33" i="1"/>
  <c r="I32" i="1"/>
  <c r="F131" i="1"/>
  <c r="H131" i="1" s="1"/>
  <c r="H88" i="1"/>
  <c r="H87" i="1"/>
  <c r="I88" i="1"/>
  <c r="I87" i="1"/>
  <c r="H86" i="1"/>
  <c r="F85" i="1"/>
  <c r="H85" i="1" s="1"/>
  <c r="F84" i="1"/>
  <c r="H84" i="1" s="1"/>
  <c r="F143" i="1"/>
  <c r="H143" i="1" s="1"/>
  <c r="F142" i="1"/>
  <c r="H142" i="1" s="1"/>
  <c r="F72" i="1"/>
  <c r="H72" i="1" s="1"/>
  <c r="I143" i="1" l="1"/>
  <c r="I84" i="1"/>
  <c r="I142" i="1"/>
  <c r="I85" i="1"/>
  <c r="I86" i="1"/>
  <c r="F127" i="1"/>
  <c r="H137" i="1"/>
  <c r="I137" i="1" s="1"/>
  <c r="H136" i="1"/>
  <c r="I136" i="1" s="1"/>
  <c r="H21" i="1"/>
  <c r="I21" i="1" s="1"/>
  <c r="I20" i="1"/>
  <c r="H127" i="1" l="1"/>
  <c r="I127" i="1" s="1"/>
  <c r="I22" i="1"/>
  <c r="H40" i="1"/>
  <c r="F39" i="1"/>
  <c r="H39" i="1" s="1"/>
  <c r="H138" i="1"/>
  <c r="H55" i="1"/>
  <c r="F133" i="1"/>
  <c r="H133" i="1" s="1"/>
  <c r="F139" i="1"/>
  <c r="H139" i="1" s="1"/>
  <c r="F58" i="1"/>
  <c r="H58" i="1" s="1"/>
  <c r="F134" i="1"/>
  <c r="H134" i="1" s="1"/>
  <c r="F76" i="1"/>
  <c r="H76" i="1" s="1"/>
  <c r="I39" i="1" l="1"/>
  <c r="I58" i="1"/>
  <c r="I47" i="1" l="1"/>
  <c r="I51" i="1"/>
  <c r="I50" i="1" l="1"/>
  <c r="I49" i="1" l="1"/>
  <c r="I73" i="1" l="1"/>
  <c r="I40" i="1"/>
  <c r="I70" i="1" l="1"/>
  <c r="I68" i="1"/>
  <c r="I67" i="1"/>
  <c r="I71" i="1" l="1"/>
  <c r="I69" i="1"/>
  <c r="I76" i="1" l="1"/>
  <c r="F140" i="1"/>
  <c r="H140" i="1" s="1"/>
  <c r="I140" i="1" l="1"/>
  <c r="I138" i="1"/>
  <c r="I139" i="1" l="1"/>
  <c r="I135" i="1"/>
  <c r="I101" i="1"/>
  <c r="I131" i="1"/>
  <c r="I72" i="1"/>
  <c r="I66" i="1" l="1"/>
  <c r="I133" i="1"/>
  <c r="I134" i="1"/>
  <c r="I144" i="1" l="1"/>
  <c r="I46" i="1"/>
  <c r="I7" i="1"/>
  <c r="I55" i="1"/>
  <c r="I93" i="1"/>
  <c r="I100" i="1"/>
  <c r="I98" i="1"/>
  <c r="I15" i="1" l="1"/>
  <c r="I45" i="1"/>
  <c r="I59" i="1" l="1"/>
  <c r="I42" i="1"/>
  <c r="I117" i="1"/>
  <c r="I114" i="1" l="1"/>
  <c r="I128" i="1"/>
  <c r="I129" i="1" s="1"/>
  <c r="I103" i="1"/>
  <c r="I107" i="1" s="1"/>
  <c r="I63" i="1" l="1"/>
  <c r="I79" i="1" s="1"/>
  <c r="I113" i="1" l="1"/>
  <c r="I115" i="1" s="1"/>
  <c r="I121" i="1" l="1"/>
  <c r="I125" i="1" s="1"/>
  <c r="I118" i="1"/>
  <c r="I119" i="1" s="1"/>
  <c r="I146" i="1" l="1"/>
</calcChain>
</file>

<file path=xl/sharedStrings.xml><?xml version="1.0" encoding="utf-8"?>
<sst xmlns="http://schemas.openxmlformats.org/spreadsheetml/2006/main" count="506" uniqueCount="214">
  <si>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</si>
  <si>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</si>
  <si>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</si>
  <si>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</si>
  <si>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</si>
  <si>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</si>
  <si>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</si>
  <si>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</si>
  <si>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</si>
  <si>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</si>
  <si>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</si>
  <si>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</si>
  <si>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</si>
  <si>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</si>
  <si>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</si>
  <si>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</si>
  <si>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</si>
  <si>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</si>
  <si>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</si>
  <si>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</si>
  <si>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</si>
  <si>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</si>
  <si>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</si>
  <si>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</si>
  <si>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</si>
  <si>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</si>
  <si>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</si>
  <si>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</si>
  <si>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</si>
  <si>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</si>
  <si>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</si>
  <si>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</si>
  <si>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</si>
  <si>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</si>
  <si>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</si>
  <si>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</si>
  <si>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</si>
  <si>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</si>
  <si>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</si>
  <si>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</si>
  <si>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</si>
  <si>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</si>
  <si>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</si>
  <si>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укрепление и окраска лестниц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</si>
  <si>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</si>
  <si>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</si>
  <si>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</si>
  <si>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</si>
  <si>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</si>
  <si>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</si>
  <si>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</si>
  <si>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</si>
  <si>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</si>
  <si>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</si>
  <si>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</si>
  <si>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</si>
  <si>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</si>
  <si>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</si>
  <si>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</si>
  <si>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</si>
  <si>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</si>
  <si>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</si>
  <si>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</si>
  <si>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</si>
  <si>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</si>
  <si>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</si>
  <si>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</si>
  <si>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</si>
  <si>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</si>
  <si>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</si>
  <si>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</si>
  <si>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</si>
  <si>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</si>
  <si>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</si>
  <si>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</si>
  <si>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</si>
  <si>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</si>
  <si>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</si>
  <si>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</si>
  <si>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</si>
  <si>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</si>
  <si>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</si>
  <si>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</si>
  <si>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</si>
  <si>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</si>
  <si>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</si>
  <si>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</si>
  <si>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</si>
  <si>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</si>
  <si>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</si>
  <si>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</si>
  <si>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</si>
  <si>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</si>
  <si>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</si>
  <si>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</si>
  <si>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</si>
  <si>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</si>
  <si>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</si>
  <si>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</si>
  <si>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</si>
  <si>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</si>
  <si>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</si>
  <si>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</si>
  <si>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</si>
  <si>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</si>
  <si>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</si>
  <si>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</si>
  <si>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</si>
  <si>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</si>
  <si>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</si>
  <si>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</si>
  <si>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</si>
  <si>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</si>
  <si>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</si>
  <si>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</si>
  <si>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</si>
  <si>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</si>
  <si>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4 квартал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</si>
  <si>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</si>
  <si>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</si>
  <si>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</si>
  <si>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</si>
  <si>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</si>
  <si>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</si>
  <si>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</si>
  <si>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</si>
  <si>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</si>
  <si>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</si>
  <si>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</si>
  <si>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</si>
  <si>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</si>
  <si>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</si>
  <si>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</si>
  <si>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</si>
  <si>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</si>
  <si>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</si>
  <si>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м</t>
  </si>
  <si>
    <t>благоустройство</t>
  </si>
  <si>
    <t>1 квартал</t>
  </si>
  <si>
    <t>1,3,4квартал</t>
  </si>
  <si>
    <t>ремонт групповых щитков на лестничной клетке со сменой автоматов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</si>
  <si>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</si>
  <si>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</si>
  <si>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</si>
  <si>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очистка канализационной сети дворовой</t>
  </si>
  <si>
    <t>установка хомутов диаметром трубопроводов до 100мм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</si>
  <si>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</si>
  <si>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</si>
  <si>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</si>
  <si>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смена автоматов одно-,двух-,трехполюсных,установленных на конструкциях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</si>
  <si>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</si>
  <si>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</si>
  <si>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</si>
  <si>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</si>
  <si>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</si>
  <si>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водоотлив из подвала электрическими нососами</t>
  </si>
  <si>
    <t>водоотлив из подвала ведрами</t>
  </si>
  <si>
    <t xml:space="preserve"> смена кранов на шаровые краны диам.15,20мм</t>
  </si>
  <si>
    <t>смена сгонов у трубопроводов диам. 20мм</t>
  </si>
  <si>
    <t>ремонт межпанельных швов без вскрытия</t>
  </si>
  <si>
    <t>ремонт мягкого покрытия кровли в 1 слой</t>
  </si>
  <si>
    <t>установка фекальных насосов</t>
  </si>
  <si>
    <t>2квартал</t>
  </si>
  <si>
    <t>заделка подвальных окон железом</t>
  </si>
  <si>
    <t>ремонт и восстановление уплотнения стыков прокладками ПРП в 1 ряд насухо</t>
  </si>
  <si>
    <t xml:space="preserve"> смена задвижек диам.50 мм на шаровые краны</t>
  </si>
  <si>
    <t>демонтаж и монтаж приемного клапана мусоропровода</t>
  </si>
  <si>
    <t xml:space="preserve">ремонт/частичная замена поврежденных участков </t>
  </si>
  <si>
    <t>установка решетки</t>
  </si>
  <si>
    <t>кг</t>
  </si>
  <si>
    <t>усиление решетки</t>
  </si>
  <si>
    <t>устройство перегородок на однорядном металлическом каркасе с обшивкой гипсокартонными листами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</si>
  <si>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</si>
  <si>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</si>
  <si>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</si>
  <si>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изготовление и установка сопла</t>
  </si>
  <si>
    <t>ремонт и окраска дверей (восстановление фурнитуры и остекления) шпингалеты</t>
  </si>
  <si>
    <t>смена кранов на шаровые диам. 15мм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</si>
  <si>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</si>
  <si>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прокладка внутренних трубопроводов водоснабжения и отопления из полипропиленовых труб:диам. 20мм</t>
  </si>
  <si>
    <t>прокладка внутренних трубопроводов водоснабжения и отопления из полипропиленовых труб:диам. 25мм</t>
  </si>
  <si>
    <t>смена стекол толщиной 4-6мм при площади стекол до 0,25м2</t>
  </si>
  <si>
    <t>смена стекол толщиной 4-6мм при площади стекол до 0,5м2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</si>
  <si>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</si>
  <si>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 ул.Талсинская, дом 8   на 2024 г.
</t>
  </si>
  <si>
    <t>коврик влаговпитывающий</t>
  </si>
  <si>
    <t>установка почтовых ящиков</t>
  </si>
  <si>
    <t>окраска масляными составами ранее окрашенных металлических ограждений пешеходных</t>
  </si>
  <si>
    <t>лифт</t>
  </si>
  <si>
    <t>замена лифтовой лебедки(без электродвигателя) под.№1,6</t>
  </si>
  <si>
    <t>изготовление и установка алюминиевого откидного пандуса 1 подъезда</t>
  </si>
  <si>
    <t>выполнение работ по оштукатуриванию плит (грунтовка-9м2;штукатурка -9м2) квартиры №33,36</t>
  </si>
  <si>
    <t>выполнение работ по герметизации межпанельных швов со вскрытием -74м.п.;без вскрытия -94м.п.;шунтирование -71м.п.;квартиры 18,33,36,66,70,134,137,216</t>
  </si>
  <si>
    <t>смены</t>
  </si>
  <si>
    <t>огрунтовка ранее окрашенных фасадов под окраску простых с земли и лесов</t>
  </si>
  <si>
    <t>простая масляная окраска ранее окрашенных фасадов без подготовки с расчисткой старой краски до 10% с земли и лесов</t>
  </si>
  <si>
    <t>ремонт металлических оргаждений средний</t>
  </si>
  <si>
    <t>контейнер ТКО-0,4м3 с крышкой</t>
  </si>
  <si>
    <t>валка деревьев с разделкой древесины на корню</t>
  </si>
  <si>
    <t>устройство цементных стяжек</t>
  </si>
  <si>
    <t>устройство покрытий из тротуарной плитки</t>
  </si>
  <si>
    <t>прокладка внутренних трубпроводов водоснабжения и отопления из полипропиленовых труб:диам. 20мм</t>
  </si>
  <si>
    <t>смена досок на скамейках до 3 шт, в одном месте</t>
  </si>
  <si>
    <t>окраска масляными составами ранее окрашенных больших металлических поверхностей (кроме крыш) за 2 раза</t>
  </si>
  <si>
    <t>установка раскладок</t>
  </si>
  <si>
    <t>м.п.</t>
  </si>
  <si>
    <t>ремонт лицевой поверхности стен</t>
  </si>
  <si>
    <t>ремонт мест просадок бетоном</t>
  </si>
  <si>
    <t xml:space="preserve">ремонт штукатурки гладких фасадов </t>
  </si>
  <si>
    <t>простая масляная окраска стен</t>
  </si>
  <si>
    <t>окраска масляными составами ранее окрашенных больших металлических поверхностей (кроме крыш) за 1 раз</t>
  </si>
  <si>
    <t>окраска фасадов акриловыми составами с лесов вручную с подготовкой поверности</t>
  </si>
  <si>
    <t>окраска масляными составами ранее окрашенных поверхностей труб стальных за 1 раз</t>
  </si>
  <si>
    <t>устройство примыканий стеклотканью в один  слой на кровле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</si>
</sst>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2" fontId="1" fillId="0" borderId="0" xfId="0" applyNumberFormat="1" applyFont="1"/>
    <xf numFmtId="0" fontId="8" fillId="2" borderId="4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8" fillId="2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8" fillId="2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8" fillId="3" borderId="4" xfId="0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/>
    </xf>
    <xf numFmtId="2" fontId="1" fillId="2" borderId="0" xfId="0" applyNumberFormat="1" applyFont="1" applyFill="1"/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3"/>
  <sheetViews>
    <sheetView tabSelected="1" topLeftCell="D146" zoomScale="91" zoomScaleNormal="91" workbookViewId="0">
      <selection activeCell="E148" sqref="E148:J152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1" width="8.85546875" style="1"/>
    <col min="12" max="12" width="11.85546875" style="1" bestFit="1" customWidth="1"/>
    <col min="13" max="16384" width="8.85546875" style="1"/>
  </cols>
  <sheetData>
    <row r="1" spans="1:12" ht="51.75" customHeight="1" x14ac:dyDescent="0.25">
      <c r="I1" s="80" t="s">
        <v>93</v>
      </c>
      <c r="J1" s="80"/>
    </row>
    <row r="2" spans="1:12" ht="70.5" customHeight="1" x14ac:dyDescent="0.25">
      <c r="A2" s="75" t="s">
        <v>184</v>
      </c>
      <c r="B2" s="76"/>
      <c r="C2" s="76"/>
      <c r="D2" s="76"/>
      <c r="E2" s="76"/>
      <c r="F2" s="76"/>
      <c r="G2" s="76"/>
      <c r="H2" s="76"/>
      <c r="I2" s="76"/>
      <c r="J2" s="76"/>
      <c r="K2" s="2"/>
      <c r="L2" s="2"/>
    </row>
    <row r="3" spans="1:12" ht="75" x14ac:dyDescent="0.25">
      <c r="A3" s="20" t="s">
        <v>79</v>
      </c>
      <c r="B3" s="3"/>
      <c r="C3" s="3"/>
      <c r="D3" s="20" t="s">
        <v>97</v>
      </c>
      <c r="E3" s="20" t="s">
        <v>101</v>
      </c>
      <c r="F3" s="21" t="s">
        <v>99</v>
      </c>
      <c r="G3" s="21" t="s">
        <v>78</v>
      </c>
      <c r="H3" s="21" t="s">
        <v>77</v>
      </c>
      <c r="I3" s="21" t="s">
        <v>98</v>
      </c>
      <c r="J3" s="21" t="s">
        <v>100</v>
      </c>
      <c r="K3" s="2"/>
      <c r="L3" s="2"/>
    </row>
    <row r="4" spans="1:12" ht="18.75" x14ac:dyDescent="0.3">
      <c r="A4" s="81" t="s">
        <v>85</v>
      </c>
      <c r="B4" s="82"/>
      <c r="C4" s="82"/>
      <c r="D4" s="82"/>
      <c r="E4" s="82"/>
      <c r="F4" s="82"/>
      <c r="G4" s="83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160</v>
      </c>
      <c r="E5" s="41"/>
      <c r="F5" s="41"/>
      <c r="G5" s="13" t="s">
        <v>110</v>
      </c>
      <c r="H5" s="57"/>
      <c r="I5" s="59"/>
      <c r="J5" s="60"/>
      <c r="K5" s="2"/>
      <c r="L5" s="2"/>
    </row>
    <row r="6" spans="1:12" ht="32.25" x14ac:dyDescent="0.3">
      <c r="A6" s="6"/>
      <c r="B6" s="5"/>
      <c r="C6" s="4"/>
      <c r="D6" s="15" t="s">
        <v>213</v>
      </c>
      <c r="E6" s="41"/>
      <c r="F6" s="41">
        <f>31.5</f>
        <v>31.5</v>
      </c>
      <c r="G6" s="13" t="s">
        <v>110</v>
      </c>
      <c r="H6" s="59">
        <f>24042.4/F6</f>
        <v>763.25079365079375</v>
      </c>
      <c r="I6" s="66">
        <f>F6*H6</f>
        <v>24042.400000000001</v>
      </c>
      <c r="J6" s="60" t="s">
        <v>117</v>
      </c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167</v>
      </c>
      <c r="E7" s="41"/>
      <c r="F7" s="41">
        <f>6</f>
        <v>6</v>
      </c>
      <c r="G7" s="13" t="s">
        <v>136</v>
      </c>
      <c r="H7" s="44">
        <f>4007.4/F7</f>
        <v>667.9</v>
      </c>
      <c r="I7" s="66">
        <f>F7*H7</f>
        <v>4007.3999999999996</v>
      </c>
      <c r="J7" s="13" t="s">
        <v>162</v>
      </c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38</v>
      </c>
      <c r="E8" s="41" t="s">
        <v>132</v>
      </c>
      <c r="F8" s="41" t="s">
        <v>132</v>
      </c>
      <c r="G8" s="13" t="s">
        <v>30</v>
      </c>
      <c r="H8" s="41"/>
      <c r="I8" s="57" t="s">
        <v>132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37</v>
      </c>
      <c r="E9" s="41" t="s">
        <v>132</v>
      </c>
      <c r="F9" s="41" t="s">
        <v>132</v>
      </c>
      <c r="G9" s="13" t="s">
        <v>110</v>
      </c>
      <c r="H9" s="41"/>
      <c r="I9" s="57" t="s">
        <v>132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36</v>
      </c>
      <c r="E10" s="41" t="s">
        <v>132</v>
      </c>
      <c r="F10" s="41" t="s">
        <v>132</v>
      </c>
      <c r="G10" s="13" t="s">
        <v>30</v>
      </c>
      <c r="H10" s="41"/>
      <c r="I10" s="57" t="s">
        <v>132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84</v>
      </c>
      <c r="E11" s="41" t="s">
        <v>132</v>
      </c>
      <c r="F11" s="41" t="s">
        <v>132</v>
      </c>
      <c r="G11" s="13" t="s">
        <v>31</v>
      </c>
      <c r="H11" s="41"/>
      <c r="I11" s="57" t="s">
        <v>132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35</v>
      </c>
      <c r="E12" s="41" t="s">
        <v>132</v>
      </c>
      <c r="F12" s="41" t="s">
        <v>132</v>
      </c>
      <c r="G12" s="14" t="s">
        <v>31</v>
      </c>
      <c r="H12" s="41"/>
      <c r="I12" s="57" t="s">
        <v>132</v>
      </c>
      <c r="J12" s="13"/>
      <c r="K12" s="2"/>
      <c r="L12" s="2"/>
    </row>
    <row r="13" spans="1:12" ht="32.25" x14ac:dyDescent="0.3">
      <c r="A13" s="6" t="s">
        <v>60</v>
      </c>
      <c r="B13" s="5"/>
      <c r="C13" s="4"/>
      <c r="D13" s="15" t="s">
        <v>49</v>
      </c>
      <c r="E13" s="41" t="s">
        <v>132</v>
      </c>
      <c r="F13" s="41" t="s">
        <v>132</v>
      </c>
      <c r="G13" s="13" t="s">
        <v>30</v>
      </c>
      <c r="H13" s="41"/>
      <c r="I13" s="57" t="s">
        <v>132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1" t="s">
        <v>132</v>
      </c>
      <c r="F14" s="41" t="s">
        <v>132</v>
      </c>
      <c r="G14" s="13" t="s">
        <v>30</v>
      </c>
      <c r="H14" s="41"/>
      <c r="I14" s="57" t="s">
        <v>132</v>
      </c>
      <c r="J14" s="13"/>
      <c r="K14" s="2"/>
      <c r="L14" s="2"/>
    </row>
    <row r="15" spans="1:12" ht="27" customHeight="1" x14ac:dyDescent="0.3">
      <c r="A15" s="28"/>
      <c r="B15" s="22"/>
      <c r="C15" s="22"/>
      <c r="D15" s="30"/>
      <c r="E15" s="45"/>
      <c r="F15" s="45"/>
      <c r="G15" s="31"/>
      <c r="H15" s="41"/>
      <c r="I15" s="59">
        <f>SUM(I5:I14)</f>
        <v>28049.800000000003</v>
      </c>
      <c r="J15" s="13"/>
      <c r="K15" s="2"/>
      <c r="L15" s="2"/>
    </row>
    <row r="16" spans="1:12" ht="18.75" x14ac:dyDescent="0.3">
      <c r="A16" s="81" t="s">
        <v>53</v>
      </c>
      <c r="B16" s="82"/>
      <c r="C16" s="82"/>
      <c r="D16" s="82"/>
      <c r="E16" s="82"/>
      <c r="F16" s="82"/>
      <c r="G16" s="83"/>
      <c r="H16" s="14"/>
      <c r="I16" s="61"/>
      <c r="J16" s="13"/>
      <c r="L16" s="2"/>
    </row>
    <row r="17" spans="1:12" ht="18.75" x14ac:dyDescent="0.3">
      <c r="A17" s="6" t="s">
        <v>19</v>
      </c>
      <c r="B17" s="5"/>
      <c r="C17" s="4"/>
      <c r="D17" s="4" t="s">
        <v>92</v>
      </c>
      <c r="E17" s="41"/>
      <c r="F17" s="41"/>
      <c r="G17" s="14" t="s">
        <v>51</v>
      </c>
      <c r="H17" s="41"/>
      <c r="I17" s="57"/>
      <c r="J17" s="13"/>
      <c r="L17" s="2"/>
    </row>
    <row r="18" spans="1:12" ht="18.75" x14ac:dyDescent="0.3">
      <c r="A18" s="6" t="s">
        <v>13</v>
      </c>
      <c r="B18" s="5"/>
      <c r="C18" s="4"/>
      <c r="D18" s="4" t="s">
        <v>40</v>
      </c>
      <c r="E18" s="41"/>
      <c r="F18" s="41"/>
      <c r="G18" s="14" t="s">
        <v>50</v>
      </c>
      <c r="H18" s="41"/>
      <c r="I18" s="57"/>
      <c r="J18" s="13"/>
      <c r="L18" s="2"/>
    </row>
    <row r="19" spans="1:12" ht="18.75" x14ac:dyDescent="0.3">
      <c r="A19" s="6" t="s">
        <v>9</v>
      </c>
      <c r="B19" s="5"/>
      <c r="C19" s="4"/>
      <c r="D19" s="4" t="s">
        <v>44</v>
      </c>
      <c r="E19" s="41"/>
      <c r="F19" s="41"/>
      <c r="G19" s="14" t="s">
        <v>135</v>
      </c>
      <c r="H19" s="41"/>
      <c r="I19" s="57"/>
      <c r="J19" s="13"/>
      <c r="K19" s="2"/>
      <c r="L19" s="2"/>
    </row>
    <row r="20" spans="1:12" ht="32.25" x14ac:dyDescent="0.3">
      <c r="A20" s="6"/>
      <c r="B20" s="5"/>
      <c r="C20" s="4"/>
      <c r="D20" s="15" t="s">
        <v>150</v>
      </c>
      <c r="E20" s="41"/>
      <c r="F20" s="41">
        <f>8+1.2</f>
        <v>9.1999999999999993</v>
      </c>
      <c r="G20" s="13" t="s">
        <v>110</v>
      </c>
      <c r="H20" s="44">
        <f>(16673+2459.8)/F20</f>
        <v>2079.6521739130435</v>
      </c>
      <c r="I20" s="66">
        <f>F20*H20</f>
        <v>19132.8</v>
      </c>
      <c r="J20" s="13" t="s">
        <v>118</v>
      </c>
      <c r="K20" s="2"/>
      <c r="L20" s="2"/>
    </row>
    <row r="21" spans="1:12" ht="32.25" x14ac:dyDescent="0.3">
      <c r="A21" s="6"/>
      <c r="B21" s="5"/>
      <c r="C21" s="4"/>
      <c r="D21" s="15" t="s">
        <v>194</v>
      </c>
      <c r="E21" s="41"/>
      <c r="F21" s="41">
        <v>213</v>
      </c>
      <c r="G21" s="13" t="s">
        <v>110</v>
      </c>
      <c r="H21" s="44">
        <f>18510.2/F21</f>
        <v>86.902347417840375</v>
      </c>
      <c r="I21" s="66">
        <f>F21*H21</f>
        <v>18510.2</v>
      </c>
      <c r="J21" s="13" t="s">
        <v>118</v>
      </c>
      <c r="K21" s="2"/>
      <c r="L21" s="2"/>
    </row>
    <row r="22" spans="1:12" ht="48" x14ac:dyDescent="0.3">
      <c r="A22" s="6"/>
      <c r="B22" s="5"/>
      <c r="C22" s="4"/>
      <c r="D22" s="15" t="s">
        <v>195</v>
      </c>
      <c r="E22" s="41"/>
      <c r="F22" s="41">
        <f>213</f>
        <v>213</v>
      </c>
      <c r="G22" s="13" t="s">
        <v>110</v>
      </c>
      <c r="H22" s="44">
        <f>(35331.8)/F22</f>
        <v>165.87699530516434</v>
      </c>
      <c r="I22" s="66">
        <f>F22*H22</f>
        <v>35331.800000000003</v>
      </c>
      <c r="J22" s="13" t="s">
        <v>118</v>
      </c>
      <c r="K22" s="2"/>
      <c r="L22" s="2"/>
    </row>
    <row r="23" spans="1:12" ht="32.25" x14ac:dyDescent="0.3">
      <c r="A23" s="6"/>
      <c r="B23" s="5"/>
      <c r="C23" s="4"/>
      <c r="D23" s="15" t="s">
        <v>211</v>
      </c>
      <c r="E23" s="41"/>
      <c r="F23" s="41">
        <f>30</f>
        <v>30</v>
      </c>
      <c r="G23" s="13" t="s">
        <v>110</v>
      </c>
      <c r="H23" s="44">
        <f>8799.4/F23</f>
        <v>293.31333333333333</v>
      </c>
      <c r="I23" s="66">
        <f>F23*H23</f>
        <v>8799.4</v>
      </c>
      <c r="J23" s="13" t="s">
        <v>117</v>
      </c>
      <c r="K23" s="2"/>
      <c r="L23" s="2"/>
    </row>
    <row r="24" spans="1:12" ht="18.75" x14ac:dyDescent="0.3">
      <c r="A24" s="6" t="s">
        <v>10</v>
      </c>
      <c r="B24" s="5"/>
      <c r="C24" s="4"/>
      <c r="D24" s="4" t="s">
        <v>33</v>
      </c>
      <c r="E24" s="41"/>
      <c r="F24" s="41"/>
      <c r="G24" s="14" t="s">
        <v>135</v>
      </c>
      <c r="H24" s="41"/>
      <c r="I24" s="57"/>
      <c r="J24" s="13"/>
      <c r="K24" s="2"/>
      <c r="L24" s="2"/>
    </row>
    <row r="25" spans="1:12" ht="18.75" x14ac:dyDescent="0.3">
      <c r="A25" s="6" t="s">
        <v>11</v>
      </c>
      <c r="B25" s="5"/>
      <c r="C25" s="4"/>
      <c r="D25" s="4" t="s">
        <v>168</v>
      </c>
      <c r="E25" s="41"/>
      <c r="F25" s="41"/>
      <c r="G25" s="14" t="s">
        <v>169</v>
      </c>
      <c r="H25" s="41"/>
      <c r="I25" s="57"/>
      <c r="J25" s="13"/>
      <c r="K25" s="2"/>
      <c r="L25" s="2"/>
    </row>
    <row r="26" spans="1:12" ht="18.75" x14ac:dyDescent="0.3">
      <c r="A26" s="6"/>
      <c r="B26" s="5"/>
      <c r="C26" s="4"/>
      <c r="D26" s="4" t="s">
        <v>170</v>
      </c>
      <c r="E26" s="41"/>
      <c r="F26" s="41"/>
      <c r="G26" s="14" t="s">
        <v>169</v>
      </c>
      <c r="H26" s="41"/>
      <c r="I26" s="57"/>
      <c r="J26" s="13"/>
      <c r="K26" s="2"/>
      <c r="L26" s="2"/>
    </row>
    <row r="27" spans="1:12" ht="18.75" x14ac:dyDescent="0.3">
      <c r="A27" s="6"/>
      <c r="B27" s="5"/>
      <c r="C27" s="4"/>
      <c r="D27" s="4" t="s">
        <v>163</v>
      </c>
      <c r="E27" s="41"/>
      <c r="F27" s="41"/>
      <c r="G27" s="14" t="s">
        <v>110</v>
      </c>
      <c r="H27" s="41"/>
      <c r="I27" s="57"/>
      <c r="J27" s="13"/>
      <c r="K27" s="2"/>
      <c r="L27" s="2"/>
    </row>
    <row r="28" spans="1:12" ht="18.75" x14ac:dyDescent="0.3">
      <c r="A28" s="6" t="s">
        <v>8</v>
      </c>
      <c r="B28" s="5"/>
      <c r="C28" s="4"/>
      <c r="D28" s="4" t="s">
        <v>32</v>
      </c>
      <c r="E28" s="41"/>
      <c r="F28" s="41"/>
      <c r="G28" s="13" t="s">
        <v>30</v>
      </c>
      <c r="H28" s="41"/>
      <c r="I28" s="57"/>
      <c r="J28" s="13"/>
      <c r="K28" s="2"/>
      <c r="L28" s="2"/>
    </row>
    <row r="29" spans="1:12" ht="24.75" customHeight="1" x14ac:dyDescent="0.3">
      <c r="A29" s="6" t="s">
        <v>12</v>
      </c>
      <c r="B29" s="5"/>
      <c r="C29" s="4"/>
      <c r="D29" s="15" t="s">
        <v>39</v>
      </c>
      <c r="E29" s="41"/>
      <c r="F29" s="41"/>
      <c r="G29" s="14" t="s">
        <v>31</v>
      </c>
      <c r="H29" s="41"/>
      <c r="I29" s="57"/>
      <c r="J29" s="13"/>
      <c r="K29" s="2"/>
      <c r="L29" s="2"/>
    </row>
    <row r="30" spans="1:12" ht="24.75" customHeight="1" x14ac:dyDescent="0.3">
      <c r="A30" s="6"/>
      <c r="B30" s="5"/>
      <c r="C30" s="4"/>
      <c r="D30" s="15" t="s">
        <v>206</v>
      </c>
      <c r="E30" s="41"/>
      <c r="F30" s="41">
        <f>1</f>
        <v>1</v>
      </c>
      <c r="G30" s="14" t="s">
        <v>110</v>
      </c>
      <c r="H30" s="41">
        <f>5062/F30</f>
        <v>5062</v>
      </c>
      <c r="I30" s="71">
        <f>F30*H30</f>
        <v>5062</v>
      </c>
      <c r="J30" s="13" t="s">
        <v>115</v>
      </c>
      <c r="K30" s="2"/>
      <c r="L30" s="2"/>
    </row>
    <row r="31" spans="1:12" ht="24.75" customHeight="1" x14ac:dyDescent="0.3">
      <c r="A31" s="6"/>
      <c r="B31" s="5"/>
      <c r="C31" s="4"/>
      <c r="D31" s="15" t="s">
        <v>207</v>
      </c>
      <c r="E31" s="41"/>
      <c r="F31" s="41">
        <v>8</v>
      </c>
      <c r="G31" s="14" t="s">
        <v>110</v>
      </c>
      <c r="H31" s="41">
        <f>48527/F31</f>
        <v>6065.875</v>
      </c>
      <c r="I31" s="71">
        <f t="shared" ref="I31:I33" si="0">F31*H31</f>
        <v>48527</v>
      </c>
      <c r="J31" s="13" t="s">
        <v>115</v>
      </c>
      <c r="K31" s="2"/>
      <c r="L31" s="2"/>
    </row>
    <row r="32" spans="1:12" ht="24.75" customHeight="1" x14ac:dyDescent="0.3">
      <c r="A32" s="6"/>
      <c r="B32" s="5"/>
      <c r="C32" s="4"/>
      <c r="D32" s="15" t="s">
        <v>208</v>
      </c>
      <c r="E32" s="41"/>
      <c r="F32" s="41">
        <f>8</f>
        <v>8</v>
      </c>
      <c r="G32" s="14" t="s">
        <v>110</v>
      </c>
      <c r="H32" s="41">
        <f>17295.4/F32</f>
        <v>2161.9250000000002</v>
      </c>
      <c r="I32" s="71">
        <f t="shared" si="0"/>
        <v>17295.400000000001</v>
      </c>
      <c r="J32" s="13" t="s">
        <v>115</v>
      </c>
      <c r="K32" s="2"/>
      <c r="L32" s="2"/>
    </row>
    <row r="33" spans="1:12" ht="24.75" customHeight="1" x14ac:dyDescent="0.3">
      <c r="A33" s="6"/>
      <c r="B33" s="5"/>
      <c r="C33" s="4"/>
      <c r="D33" s="15" t="s">
        <v>209</v>
      </c>
      <c r="E33" s="41"/>
      <c r="F33" s="41">
        <f>12</f>
        <v>12</v>
      </c>
      <c r="G33" s="14" t="s">
        <v>110</v>
      </c>
      <c r="H33" s="44">
        <f>2062/F33</f>
        <v>171.83333333333334</v>
      </c>
      <c r="I33" s="71">
        <f t="shared" si="0"/>
        <v>2062</v>
      </c>
      <c r="J33" s="13" t="s">
        <v>115</v>
      </c>
      <c r="K33" s="2"/>
      <c r="L33" s="2"/>
    </row>
    <row r="34" spans="1:12" ht="18.75" x14ac:dyDescent="0.3">
      <c r="A34" s="6" t="s">
        <v>52</v>
      </c>
      <c r="B34" s="5"/>
      <c r="C34" s="4"/>
      <c r="D34" s="15" t="s">
        <v>159</v>
      </c>
      <c r="E34" s="41"/>
      <c r="F34" s="41"/>
      <c r="G34" s="14" t="s">
        <v>30</v>
      </c>
      <c r="H34" s="41"/>
      <c r="I34" s="57"/>
      <c r="J34" s="13"/>
      <c r="L34" s="2"/>
    </row>
    <row r="35" spans="1:12" ht="32.25" x14ac:dyDescent="0.3">
      <c r="A35" s="6" t="s">
        <v>54</v>
      </c>
      <c r="B35" s="5"/>
      <c r="C35" s="4"/>
      <c r="D35" s="15" t="s">
        <v>91</v>
      </c>
      <c r="E35" s="41" t="s">
        <v>132</v>
      </c>
      <c r="F35" s="41" t="s">
        <v>132</v>
      </c>
      <c r="G35" s="14" t="s">
        <v>50</v>
      </c>
      <c r="H35" s="41"/>
      <c r="I35" s="57" t="s">
        <v>132</v>
      </c>
      <c r="J35" s="13"/>
      <c r="L35" s="2"/>
    </row>
    <row r="36" spans="1:12" ht="32.25" x14ac:dyDescent="0.3">
      <c r="A36" s="6" t="s">
        <v>14</v>
      </c>
      <c r="B36" s="5"/>
      <c r="C36" s="4"/>
      <c r="D36" s="15" t="s">
        <v>90</v>
      </c>
      <c r="E36" s="41" t="s">
        <v>132</v>
      </c>
      <c r="F36" s="41" t="s">
        <v>132</v>
      </c>
      <c r="G36" s="14" t="s">
        <v>51</v>
      </c>
      <c r="H36" s="41"/>
      <c r="I36" s="57" t="s">
        <v>132</v>
      </c>
      <c r="J36" s="13"/>
      <c r="L36" s="2"/>
    </row>
    <row r="37" spans="1:12" ht="18.75" x14ac:dyDescent="0.3">
      <c r="A37" s="6" t="s">
        <v>15</v>
      </c>
      <c r="B37" s="5"/>
      <c r="C37" s="4"/>
      <c r="D37" s="4" t="s">
        <v>41</v>
      </c>
      <c r="E37" s="41" t="s">
        <v>132</v>
      </c>
      <c r="F37" s="41" t="s">
        <v>132</v>
      </c>
      <c r="G37" s="14" t="s">
        <v>51</v>
      </c>
      <c r="H37" s="41"/>
      <c r="I37" s="57" t="s">
        <v>132</v>
      </c>
      <c r="J37" s="13"/>
      <c r="L37" s="2"/>
    </row>
    <row r="38" spans="1:12" ht="18.75" x14ac:dyDescent="0.3">
      <c r="A38" s="6" t="s">
        <v>16</v>
      </c>
      <c r="B38" s="5"/>
      <c r="C38" s="4"/>
      <c r="D38" s="4" t="s">
        <v>42</v>
      </c>
      <c r="E38" s="41" t="s">
        <v>132</v>
      </c>
      <c r="F38" s="41" t="s">
        <v>132</v>
      </c>
      <c r="G38" s="14" t="s">
        <v>50</v>
      </c>
      <c r="H38" s="41"/>
      <c r="I38" s="57" t="s">
        <v>132</v>
      </c>
      <c r="J38" s="13"/>
      <c r="L38" s="2"/>
    </row>
    <row r="39" spans="1:12" ht="48" x14ac:dyDescent="0.3">
      <c r="A39" s="6" t="s">
        <v>17</v>
      </c>
      <c r="B39" s="5"/>
      <c r="C39" s="4"/>
      <c r="D39" s="15" t="s">
        <v>191</v>
      </c>
      <c r="E39" s="41" t="s">
        <v>132</v>
      </c>
      <c r="F39" s="41">
        <f>2</f>
        <v>2</v>
      </c>
      <c r="G39" s="13" t="s">
        <v>193</v>
      </c>
      <c r="H39" s="41">
        <f>20000/F39</f>
        <v>10000</v>
      </c>
      <c r="I39" s="66">
        <f>F39*H39</f>
        <v>20000</v>
      </c>
      <c r="J39" s="13" t="s">
        <v>118</v>
      </c>
      <c r="L39" s="2"/>
    </row>
    <row r="40" spans="1:12" ht="63.75" x14ac:dyDescent="0.3">
      <c r="A40" s="6"/>
      <c r="B40" s="5"/>
      <c r="C40" s="4"/>
      <c r="D40" s="15" t="s">
        <v>192</v>
      </c>
      <c r="E40" s="41"/>
      <c r="F40" s="41">
        <v>1</v>
      </c>
      <c r="G40" s="13" t="s">
        <v>135</v>
      </c>
      <c r="H40" s="41">
        <f>194577/F40</f>
        <v>194577</v>
      </c>
      <c r="I40" s="66">
        <f>F40*H40</f>
        <v>194577</v>
      </c>
      <c r="J40" s="13" t="s">
        <v>115</v>
      </c>
      <c r="L40" s="2"/>
    </row>
    <row r="41" spans="1:12" ht="18.75" x14ac:dyDescent="0.3">
      <c r="A41" s="6" t="s">
        <v>18</v>
      </c>
      <c r="B41" s="5"/>
      <c r="C41" s="4"/>
      <c r="D41" s="4" t="s">
        <v>43</v>
      </c>
      <c r="E41" s="41" t="s">
        <v>132</v>
      </c>
      <c r="F41" s="41" t="s">
        <v>132</v>
      </c>
      <c r="G41" s="14" t="s">
        <v>51</v>
      </c>
      <c r="H41" s="41"/>
      <c r="I41" s="57" t="s">
        <v>132</v>
      </c>
      <c r="J41" s="13"/>
      <c r="L41" s="2"/>
    </row>
    <row r="42" spans="1:12" ht="18.75" x14ac:dyDescent="0.3">
      <c r="A42" s="28"/>
      <c r="B42" s="22"/>
      <c r="C42" s="22"/>
      <c r="D42" s="22"/>
      <c r="E42" s="45"/>
      <c r="F42" s="45"/>
      <c r="G42" s="12"/>
      <c r="H42" s="41"/>
      <c r="I42" s="59">
        <f>SUM(I17:I41)</f>
        <v>369297.6</v>
      </c>
      <c r="J42" s="13"/>
      <c r="L42" s="2"/>
    </row>
    <row r="43" spans="1:12" ht="24" customHeight="1" x14ac:dyDescent="0.3">
      <c r="A43" s="81" t="s">
        <v>83</v>
      </c>
      <c r="B43" s="82"/>
      <c r="C43" s="82"/>
      <c r="D43" s="82"/>
      <c r="E43" s="82"/>
      <c r="F43" s="82"/>
      <c r="G43" s="83"/>
      <c r="H43" s="14"/>
      <c r="I43" s="61"/>
      <c r="J43" s="13"/>
      <c r="L43" s="2"/>
    </row>
    <row r="44" spans="1:12" ht="32.25" customHeight="1" x14ac:dyDescent="0.3">
      <c r="A44" s="6" t="s">
        <v>46</v>
      </c>
      <c r="B44" s="5"/>
      <c r="C44" s="4"/>
      <c r="D44" s="15" t="s">
        <v>176</v>
      </c>
      <c r="E44" s="41" t="s">
        <v>132</v>
      </c>
      <c r="F44" s="41"/>
      <c r="G44" s="38" t="s">
        <v>31</v>
      </c>
      <c r="H44" s="41"/>
      <c r="I44" s="57"/>
      <c r="J44" s="13"/>
      <c r="L44" s="2"/>
    </row>
    <row r="45" spans="1:12" ht="32.25" customHeight="1" x14ac:dyDescent="0.3">
      <c r="A45" s="6"/>
      <c r="B45" s="5"/>
      <c r="C45" s="4"/>
      <c r="D45" s="15" t="s">
        <v>164</v>
      </c>
      <c r="E45" s="41"/>
      <c r="F45" s="41">
        <f>30+12</f>
        <v>42</v>
      </c>
      <c r="G45" s="13" t="s">
        <v>30</v>
      </c>
      <c r="H45" s="44">
        <f>(8093.8+3250)/F45</f>
        <v>270.09047619047618</v>
      </c>
      <c r="I45" s="66">
        <f t="shared" ref="I45:I46" si="1">F45*H45</f>
        <v>11343.8</v>
      </c>
      <c r="J45" s="13" t="s">
        <v>115</v>
      </c>
      <c r="L45" s="2"/>
    </row>
    <row r="46" spans="1:12" ht="48.75" customHeight="1" x14ac:dyDescent="0.3">
      <c r="A46" s="6"/>
      <c r="B46" s="5"/>
      <c r="C46" s="4"/>
      <c r="D46" s="15" t="s">
        <v>203</v>
      </c>
      <c r="E46" s="41"/>
      <c r="F46" s="41">
        <f>10.9+6.4+8.3</f>
        <v>25.6</v>
      </c>
      <c r="G46" s="13" t="s">
        <v>110</v>
      </c>
      <c r="H46" s="44">
        <f>(2358.2+1383.4+1816.6)/F46</f>
        <v>217.11718749999997</v>
      </c>
      <c r="I46" s="71">
        <f t="shared" si="1"/>
        <v>5558.2</v>
      </c>
      <c r="J46" s="13" t="s">
        <v>115</v>
      </c>
      <c r="L46" s="2"/>
    </row>
    <row r="47" spans="1:12" ht="48.75" customHeight="1" x14ac:dyDescent="0.3">
      <c r="A47" s="6"/>
      <c r="B47" s="5"/>
      <c r="C47" s="4"/>
      <c r="D47" s="15" t="s">
        <v>210</v>
      </c>
      <c r="E47" s="41"/>
      <c r="F47" s="41">
        <f>2+5</f>
        <v>7</v>
      </c>
      <c r="G47" s="13" t="s">
        <v>110</v>
      </c>
      <c r="H47" s="44">
        <f>(319.4+3148.8)/F47</f>
        <v>495.45714285714291</v>
      </c>
      <c r="I47" s="71">
        <f>F47*H47</f>
        <v>3468.2000000000003</v>
      </c>
      <c r="J47" s="13" t="s">
        <v>115</v>
      </c>
      <c r="L47" s="2"/>
    </row>
    <row r="48" spans="1:12" ht="32.25" x14ac:dyDescent="0.3">
      <c r="A48" s="6" t="s">
        <v>47</v>
      </c>
      <c r="B48" s="5"/>
      <c r="C48" s="4"/>
      <c r="D48" s="15" t="s">
        <v>96</v>
      </c>
      <c r="E48" s="41"/>
      <c r="F48" s="41"/>
      <c r="G48" s="13" t="s">
        <v>51</v>
      </c>
      <c r="H48" s="41"/>
      <c r="I48" s="57"/>
      <c r="J48" s="13"/>
      <c r="L48" s="2"/>
    </row>
    <row r="49" spans="1:12" ht="18.75" x14ac:dyDescent="0.3">
      <c r="A49" s="6"/>
      <c r="B49" s="5"/>
      <c r="C49" s="4"/>
      <c r="D49" s="15" t="s">
        <v>204</v>
      </c>
      <c r="E49" s="41"/>
      <c r="F49" s="41">
        <f>91.2</f>
        <v>91.2</v>
      </c>
      <c r="G49" s="13" t="s">
        <v>205</v>
      </c>
      <c r="H49" s="44">
        <f>6443.8/F49</f>
        <v>70.655701754385959</v>
      </c>
      <c r="I49" s="71">
        <f>F49*H49</f>
        <v>6443.7999999999993</v>
      </c>
      <c r="J49" s="13" t="s">
        <v>117</v>
      </c>
      <c r="L49" s="2"/>
    </row>
    <row r="50" spans="1:12" ht="32.25" x14ac:dyDescent="0.3">
      <c r="A50" s="6"/>
      <c r="B50" s="5"/>
      <c r="C50" s="4"/>
      <c r="D50" s="15" t="s">
        <v>181</v>
      </c>
      <c r="E50" s="41"/>
      <c r="F50" s="41">
        <f>0.334</f>
        <v>0.33400000000000002</v>
      </c>
      <c r="G50" s="13" t="s">
        <v>110</v>
      </c>
      <c r="H50" s="44">
        <f>1148.4/F50</f>
        <v>3438.3233532934132</v>
      </c>
      <c r="I50" s="71">
        <f>F50*H50</f>
        <v>1148.4000000000001</v>
      </c>
      <c r="J50" s="13" t="s">
        <v>117</v>
      </c>
      <c r="L50" s="2"/>
    </row>
    <row r="51" spans="1:12" ht="32.25" x14ac:dyDescent="0.3">
      <c r="A51" s="6"/>
      <c r="B51" s="5"/>
      <c r="C51" s="4"/>
      <c r="D51" s="15" t="s">
        <v>182</v>
      </c>
      <c r="E51" s="41"/>
      <c r="F51" s="41">
        <f>0.38</f>
        <v>0.38</v>
      </c>
      <c r="G51" s="13" t="s">
        <v>110</v>
      </c>
      <c r="H51" s="44">
        <f>1042.2/F51</f>
        <v>2742.6315789473683</v>
      </c>
      <c r="I51" s="71">
        <f t="shared" ref="I51" si="2">F51*H51</f>
        <v>1042.2</v>
      </c>
      <c r="J51" s="13" t="s">
        <v>117</v>
      </c>
      <c r="L51" s="2"/>
    </row>
    <row r="52" spans="1:12" ht="48" x14ac:dyDescent="0.3">
      <c r="A52" s="6" t="s">
        <v>56</v>
      </c>
      <c r="B52" s="8"/>
      <c r="C52" s="4"/>
      <c r="D52" s="15" t="s">
        <v>171</v>
      </c>
      <c r="E52" s="41"/>
      <c r="F52" s="41"/>
      <c r="G52" s="14" t="s">
        <v>110</v>
      </c>
      <c r="H52" s="41"/>
      <c r="I52" s="57"/>
      <c r="J52" s="13"/>
      <c r="L52" s="2"/>
    </row>
    <row r="53" spans="1:12" ht="18.75" x14ac:dyDescent="0.3">
      <c r="A53" s="6" t="s">
        <v>58</v>
      </c>
      <c r="B53" s="5"/>
      <c r="C53" s="4"/>
      <c r="D53" s="15" t="s">
        <v>48</v>
      </c>
      <c r="E53" s="41"/>
      <c r="F53" s="41"/>
      <c r="G53" s="14" t="s">
        <v>30</v>
      </c>
      <c r="H53" s="41"/>
      <c r="I53" s="57"/>
      <c r="J53" s="13"/>
      <c r="L53" s="2"/>
    </row>
    <row r="54" spans="1:12" ht="32.25" x14ac:dyDescent="0.3">
      <c r="A54" s="6" t="s">
        <v>59</v>
      </c>
      <c r="B54" s="5"/>
      <c r="C54" s="4"/>
      <c r="D54" s="15" t="s">
        <v>61</v>
      </c>
      <c r="E54" s="41"/>
      <c r="F54" s="41"/>
      <c r="G54" s="13" t="s">
        <v>30</v>
      </c>
      <c r="H54" s="41"/>
      <c r="I54" s="57" t="s">
        <v>132</v>
      </c>
      <c r="J54" s="13"/>
      <c r="L54" s="2"/>
    </row>
    <row r="55" spans="1:12" ht="32.25" x14ac:dyDescent="0.3">
      <c r="A55" s="6"/>
      <c r="B55" s="5"/>
      <c r="C55" s="4"/>
      <c r="D55" s="15" t="s">
        <v>166</v>
      </c>
      <c r="E55" s="41"/>
      <c r="F55" s="41">
        <v>1</v>
      </c>
      <c r="G55" s="13" t="s">
        <v>31</v>
      </c>
      <c r="H55" s="41">
        <f>(705.6+5368.8)/F55</f>
        <v>6074.4000000000005</v>
      </c>
      <c r="I55" s="66">
        <f>F55*H55</f>
        <v>6074.4000000000005</v>
      </c>
      <c r="J55" s="13" t="s">
        <v>117</v>
      </c>
    </row>
    <row r="56" spans="1:12" ht="18.75" x14ac:dyDescent="0.3">
      <c r="A56" s="6" t="s">
        <v>55</v>
      </c>
      <c r="B56" s="8"/>
      <c r="C56" s="4"/>
      <c r="D56" s="4" t="s">
        <v>44</v>
      </c>
      <c r="E56" s="41" t="s">
        <v>132</v>
      </c>
      <c r="F56" s="41" t="s">
        <v>132</v>
      </c>
      <c r="G56" s="14" t="s">
        <v>50</v>
      </c>
      <c r="H56" s="41"/>
      <c r="I56" s="57" t="s">
        <v>132</v>
      </c>
      <c r="J56" s="13"/>
      <c r="L56" s="2"/>
    </row>
    <row r="57" spans="1:12" ht="24" customHeight="1" x14ac:dyDescent="0.3">
      <c r="A57" s="6" t="s">
        <v>57</v>
      </c>
      <c r="B57" s="8"/>
      <c r="C57" s="4"/>
      <c r="D57" s="4" t="s">
        <v>45</v>
      </c>
      <c r="E57" s="41" t="s">
        <v>132</v>
      </c>
      <c r="F57" s="41" t="s">
        <v>132</v>
      </c>
      <c r="G57" s="14" t="s">
        <v>50</v>
      </c>
      <c r="H57" s="41"/>
      <c r="I57" s="57" t="s">
        <v>132</v>
      </c>
      <c r="J57" s="13"/>
      <c r="L57" s="2"/>
    </row>
    <row r="58" spans="1:12" ht="18.75" x14ac:dyDescent="0.3">
      <c r="A58" s="6" t="s">
        <v>62</v>
      </c>
      <c r="B58" s="5"/>
      <c r="C58" s="4"/>
      <c r="D58" s="4" t="s">
        <v>186</v>
      </c>
      <c r="E58" s="41" t="s">
        <v>132</v>
      </c>
      <c r="F58" s="41">
        <f>1</f>
        <v>1</v>
      </c>
      <c r="G58" s="14" t="s">
        <v>51</v>
      </c>
      <c r="H58" s="41">
        <f>2077/F58</f>
        <v>2077</v>
      </c>
      <c r="I58" s="66">
        <f>F58*H58</f>
        <v>2077</v>
      </c>
      <c r="J58" s="13" t="s">
        <v>138</v>
      </c>
      <c r="L58" s="2"/>
    </row>
    <row r="59" spans="1:12" ht="18.75" x14ac:dyDescent="0.3">
      <c r="A59" s="28"/>
      <c r="B59" s="22"/>
      <c r="C59" s="22"/>
      <c r="D59" s="22"/>
      <c r="E59" s="45"/>
      <c r="F59" s="45"/>
      <c r="G59" s="12"/>
      <c r="H59" s="41"/>
      <c r="I59" s="59">
        <f>SUM(I44:I58)</f>
        <v>37156</v>
      </c>
      <c r="J59" s="13"/>
      <c r="L59" s="2"/>
    </row>
    <row r="60" spans="1:12" ht="18.75" x14ac:dyDescent="0.3">
      <c r="A60" s="81" t="s">
        <v>64</v>
      </c>
      <c r="B60" s="82"/>
      <c r="C60" s="82"/>
      <c r="D60" s="82"/>
      <c r="E60" s="82"/>
      <c r="F60" s="82"/>
      <c r="G60" s="83"/>
      <c r="H60" s="18"/>
      <c r="I60" s="61"/>
      <c r="J60" s="13"/>
      <c r="L60" s="2"/>
    </row>
    <row r="61" spans="1:12" ht="37.5" x14ac:dyDescent="0.25">
      <c r="A61" s="9" t="s">
        <v>29</v>
      </c>
      <c r="B61" s="8"/>
      <c r="C61" s="4"/>
      <c r="D61" s="15" t="s">
        <v>134</v>
      </c>
      <c r="E61" s="41" t="s">
        <v>132</v>
      </c>
      <c r="F61" s="41" t="s">
        <v>132</v>
      </c>
      <c r="G61" s="13" t="s">
        <v>51</v>
      </c>
      <c r="H61" s="41"/>
      <c r="I61" s="57" t="s">
        <v>132</v>
      </c>
      <c r="J61" s="13"/>
      <c r="L61" s="2"/>
    </row>
    <row r="62" spans="1:12" ht="47.25" x14ac:dyDescent="0.25">
      <c r="A62" s="9"/>
      <c r="B62" s="8"/>
      <c r="C62" s="4"/>
      <c r="D62" s="15" t="s">
        <v>212</v>
      </c>
      <c r="E62" s="41"/>
      <c r="F62" s="41">
        <f>1</f>
        <v>1</v>
      </c>
      <c r="G62" s="13" t="s">
        <v>31</v>
      </c>
      <c r="H62" s="41">
        <f>592/F62</f>
        <v>592</v>
      </c>
      <c r="I62" s="66">
        <f>F62*H62</f>
        <v>592</v>
      </c>
      <c r="J62" s="13" t="s">
        <v>115</v>
      </c>
      <c r="L62" s="2"/>
    </row>
    <row r="63" spans="1:12" ht="46.5" customHeight="1" x14ac:dyDescent="0.25">
      <c r="A63" s="9" t="s">
        <v>89</v>
      </c>
      <c r="B63" s="8"/>
      <c r="C63" s="4"/>
      <c r="D63" s="42" t="s">
        <v>121</v>
      </c>
      <c r="E63" s="32"/>
      <c r="F63" s="13">
        <v>1800</v>
      </c>
      <c r="G63" s="13" t="s">
        <v>110</v>
      </c>
      <c r="H63" s="33">
        <f>(8426.4+8426.4+8426.4+8479.6+8479.6+8479.6+8806.4+8806.4+8806.4+8921.6+8921.6+8921.6)/F63</f>
        <v>57.723333333333336</v>
      </c>
      <c r="I63" s="58">
        <f t="shared" ref="I63" si="3">F63*H63</f>
        <v>103902</v>
      </c>
      <c r="J63" s="13" t="s">
        <v>113</v>
      </c>
      <c r="L63" s="2"/>
    </row>
    <row r="64" spans="1:12" ht="46.5" customHeight="1" x14ac:dyDescent="0.25">
      <c r="A64" s="9"/>
      <c r="B64" s="8"/>
      <c r="C64" s="4"/>
      <c r="D64" s="15" t="s">
        <v>108</v>
      </c>
      <c r="E64" s="41" t="s">
        <v>132</v>
      </c>
      <c r="F64" s="41" t="s">
        <v>132</v>
      </c>
      <c r="G64" s="13" t="s">
        <v>30</v>
      </c>
      <c r="H64" s="41"/>
      <c r="I64" s="57" t="s">
        <v>132</v>
      </c>
      <c r="J64" s="13"/>
      <c r="L64" s="2"/>
    </row>
    <row r="65" spans="1:12" ht="46.5" customHeight="1" x14ac:dyDescent="0.25">
      <c r="A65" s="9"/>
      <c r="B65" s="8"/>
      <c r="C65" s="4"/>
      <c r="D65" s="15" t="s">
        <v>109</v>
      </c>
      <c r="E65" s="41" t="s">
        <v>132</v>
      </c>
      <c r="F65" s="41" t="s">
        <v>132</v>
      </c>
      <c r="G65" s="13" t="s">
        <v>30</v>
      </c>
      <c r="H65" s="41"/>
      <c r="I65" s="57" t="s">
        <v>132</v>
      </c>
      <c r="J65" s="13"/>
      <c r="L65" s="2"/>
    </row>
    <row r="66" spans="1:12" ht="46.5" customHeight="1" x14ac:dyDescent="0.25">
      <c r="A66" s="9"/>
      <c r="B66" s="8"/>
      <c r="C66" s="4"/>
      <c r="D66" s="15" t="s">
        <v>145</v>
      </c>
      <c r="E66" s="41" t="s">
        <v>132</v>
      </c>
      <c r="F66" s="41">
        <f>10+21+2+8+4+14+2</f>
        <v>61</v>
      </c>
      <c r="G66" s="13" t="s">
        <v>31</v>
      </c>
      <c r="H66" s="44">
        <f>(14335.6+30543.6+2908.8+12192.2+6132.6+21464.4+3066.4)/F66</f>
        <v>1485.9606557377051</v>
      </c>
      <c r="I66" s="57">
        <f>F66*H66</f>
        <v>90643.6</v>
      </c>
      <c r="J66" s="13" t="s">
        <v>118</v>
      </c>
      <c r="L66" s="2"/>
    </row>
    <row r="67" spans="1:12" ht="46.5" customHeight="1" x14ac:dyDescent="0.25">
      <c r="A67" s="9"/>
      <c r="B67" s="8"/>
      <c r="C67" s="4"/>
      <c r="D67" s="15" t="s">
        <v>153</v>
      </c>
      <c r="E67" s="41" t="s">
        <v>132</v>
      </c>
      <c r="F67" s="41">
        <f>31+2+1+8+9.5+18+24+5+9</f>
        <v>107.5</v>
      </c>
      <c r="G67" s="13" t="s">
        <v>30</v>
      </c>
      <c r="H67" s="44">
        <f>(11000.4+708.6+353.8+2856.6+3523.4+6675.6+9017.6+1879+3381.8)/F67</f>
        <v>366.48186046511631</v>
      </c>
      <c r="I67" s="66">
        <f t="shared" ref="I67:I73" si="4">F67*H67</f>
        <v>39396.800000000003</v>
      </c>
      <c r="J67" s="13" t="s">
        <v>138</v>
      </c>
      <c r="L67" s="2"/>
    </row>
    <row r="68" spans="1:12" ht="84.75" customHeight="1" x14ac:dyDescent="0.25">
      <c r="A68" s="9"/>
      <c r="B68" s="8"/>
      <c r="C68" s="4"/>
      <c r="D68" s="15" t="s">
        <v>178</v>
      </c>
      <c r="E68" s="41" t="s">
        <v>132</v>
      </c>
      <c r="F68" s="41">
        <f>4+1+1+3+4+4+3+6</f>
        <v>26</v>
      </c>
      <c r="G68" s="13" t="s">
        <v>152</v>
      </c>
      <c r="H68" s="44">
        <f>(96.2+47+74.6+99+102+76.6+152.2)/F68</f>
        <v>24.907692307692304</v>
      </c>
      <c r="I68" s="66">
        <f t="shared" si="4"/>
        <v>647.59999999999991</v>
      </c>
      <c r="J68" s="13" t="s">
        <v>138</v>
      </c>
      <c r="L68" s="2"/>
    </row>
    <row r="69" spans="1:12" ht="63.75" customHeight="1" x14ac:dyDescent="0.25">
      <c r="A69" s="9"/>
      <c r="B69" s="8"/>
      <c r="C69" s="4"/>
      <c r="D69" s="15" t="s">
        <v>179</v>
      </c>
      <c r="E69" s="41" t="s">
        <v>132</v>
      </c>
      <c r="F69" s="41">
        <f>4+1+2+1+1.5+2+2+1+3</f>
        <v>17.5</v>
      </c>
      <c r="G69" s="13" t="s">
        <v>30</v>
      </c>
      <c r="H69" s="44">
        <f>(4667.6+283.6+47.4+287.8+4474.4+2675.8+673.6+336.8+2506.2)/F69</f>
        <v>911.61142857142841</v>
      </c>
      <c r="I69" s="66">
        <f t="shared" si="4"/>
        <v>15953.199999999997</v>
      </c>
      <c r="J69" s="13" t="s">
        <v>138</v>
      </c>
      <c r="L69" s="2"/>
    </row>
    <row r="70" spans="1:12" ht="84" customHeight="1" x14ac:dyDescent="0.25">
      <c r="A70" s="9"/>
      <c r="B70" s="8"/>
      <c r="C70" s="4"/>
      <c r="D70" s="15" t="s">
        <v>154</v>
      </c>
      <c r="E70" s="41" t="s">
        <v>132</v>
      </c>
      <c r="F70" s="41">
        <f>72+7+11</f>
        <v>90</v>
      </c>
      <c r="G70" s="13" t="s">
        <v>152</v>
      </c>
      <c r="H70" s="44">
        <f>(460.6+104.2+283.8+408.6+703.8+676.4+261.6+410.4)/F70</f>
        <v>36.771111111111111</v>
      </c>
      <c r="I70" s="67">
        <f t="shared" si="4"/>
        <v>3309.4</v>
      </c>
      <c r="J70" s="13" t="s">
        <v>115</v>
      </c>
      <c r="L70" s="2"/>
    </row>
    <row r="71" spans="1:12" ht="63.75" customHeight="1" x14ac:dyDescent="0.25">
      <c r="A71" s="9"/>
      <c r="B71" s="8"/>
      <c r="C71" s="4"/>
      <c r="D71" s="15" t="s">
        <v>180</v>
      </c>
      <c r="E71" s="41" t="s">
        <v>132</v>
      </c>
      <c r="F71" s="41">
        <f>72+4+40</f>
        <v>116</v>
      </c>
      <c r="G71" s="13" t="s">
        <v>30</v>
      </c>
      <c r="H71" s="44">
        <f>(13250.4+638.4+9437.6+3422.6+11787.8+13311.2+3232+15989)/F71</f>
        <v>612.66379310344826</v>
      </c>
      <c r="I71" s="66">
        <f t="shared" si="4"/>
        <v>71069</v>
      </c>
      <c r="J71" s="13" t="s">
        <v>115</v>
      </c>
      <c r="L71" s="2"/>
    </row>
    <row r="72" spans="1:12" ht="46.5" customHeight="1" x14ac:dyDescent="0.25">
      <c r="A72" s="9"/>
      <c r="B72" s="8"/>
      <c r="C72" s="4"/>
      <c r="D72" s="15" t="s">
        <v>175</v>
      </c>
      <c r="E72" s="41" t="s">
        <v>132</v>
      </c>
      <c r="F72" s="41">
        <f>3</f>
        <v>3</v>
      </c>
      <c r="G72" s="13" t="s">
        <v>31</v>
      </c>
      <c r="H72" s="44">
        <f>4127/F72</f>
        <v>1375.6666666666667</v>
      </c>
      <c r="I72" s="71">
        <f t="shared" si="4"/>
        <v>4127</v>
      </c>
      <c r="J72" s="13" t="s">
        <v>138</v>
      </c>
      <c r="L72" s="2"/>
    </row>
    <row r="73" spans="1:12" ht="46.5" customHeight="1" x14ac:dyDescent="0.25">
      <c r="A73" s="9"/>
      <c r="B73" s="8"/>
      <c r="C73" s="4"/>
      <c r="D73" s="15" t="s">
        <v>158</v>
      </c>
      <c r="E73" s="41" t="s">
        <v>132</v>
      </c>
      <c r="F73" s="41">
        <f>1+1</f>
        <v>2</v>
      </c>
      <c r="G73" s="13" t="s">
        <v>141</v>
      </c>
      <c r="H73" s="41">
        <f>(535.4+554)/F73</f>
        <v>544.70000000000005</v>
      </c>
      <c r="I73" s="66">
        <f t="shared" si="4"/>
        <v>1089.4000000000001</v>
      </c>
      <c r="J73" s="13" t="s">
        <v>117</v>
      </c>
      <c r="L73" s="2"/>
    </row>
    <row r="74" spans="1:12" ht="31.5" x14ac:dyDescent="0.25">
      <c r="A74" s="9" t="s">
        <v>80</v>
      </c>
      <c r="B74" s="8"/>
      <c r="C74" s="4"/>
      <c r="D74" s="15" t="s">
        <v>147</v>
      </c>
      <c r="E74" s="41" t="s">
        <v>132</v>
      </c>
      <c r="F74" s="41" t="s">
        <v>132</v>
      </c>
      <c r="G74" s="13" t="s">
        <v>51</v>
      </c>
      <c r="H74" s="41"/>
      <c r="I74" s="57" t="s">
        <v>132</v>
      </c>
      <c r="J74" s="13"/>
      <c r="L74" s="2"/>
    </row>
    <row r="75" spans="1:12" ht="31.5" x14ac:dyDescent="0.25">
      <c r="A75" s="9"/>
      <c r="B75" s="8"/>
      <c r="C75" s="4"/>
      <c r="D75" s="15" t="s">
        <v>148</v>
      </c>
      <c r="E75" s="41" t="s">
        <v>132</v>
      </c>
      <c r="F75" s="41" t="s">
        <v>132</v>
      </c>
      <c r="G75" s="13" t="s">
        <v>51</v>
      </c>
      <c r="H75" s="41"/>
      <c r="I75" s="57" t="s">
        <v>132</v>
      </c>
      <c r="J75" s="13"/>
      <c r="L75" s="2"/>
    </row>
    <row r="76" spans="1:12" ht="18.75" x14ac:dyDescent="0.25">
      <c r="A76" s="9"/>
      <c r="B76" s="8"/>
      <c r="C76" s="4"/>
      <c r="D76" s="15" t="s">
        <v>157</v>
      </c>
      <c r="E76" s="41" t="s">
        <v>132</v>
      </c>
      <c r="F76" s="41">
        <f>3</f>
        <v>3</v>
      </c>
      <c r="G76" s="13" t="s">
        <v>31</v>
      </c>
      <c r="H76" s="44">
        <f>3800.8/F76</f>
        <v>1266.9333333333334</v>
      </c>
      <c r="I76" s="66">
        <f>F76*H76</f>
        <v>3800.8</v>
      </c>
      <c r="J76" s="13" t="s">
        <v>115</v>
      </c>
      <c r="L76" s="2"/>
    </row>
    <row r="77" spans="1:12" ht="18.75" x14ac:dyDescent="0.25">
      <c r="A77" s="9" t="s">
        <v>20</v>
      </c>
      <c r="B77" s="8"/>
      <c r="C77" s="4"/>
      <c r="D77" s="15" t="s">
        <v>65</v>
      </c>
      <c r="E77" s="41" t="s">
        <v>132</v>
      </c>
      <c r="F77" s="41" t="s">
        <v>132</v>
      </c>
      <c r="G77" s="13" t="s">
        <v>30</v>
      </c>
      <c r="H77" s="41"/>
      <c r="I77" s="57" t="s">
        <v>132</v>
      </c>
      <c r="J77" s="13"/>
      <c r="L77" s="2"/>
    </row>
    <row r="78" spans="1:12" ht="31.5" x14ac:dyDescent="0.25">
      <c r="A78" s="9" t="s">
        <v>21</v>
      </c>
      <c r="B78" s="8"/>
      <c r="C78" s="4"/>
      <c r="D78" s="15" t="s">
        <v>67</v>
      </c>
      <c r="E78" s="41" t="s">
        <v>132</v>
      </c>
      <c r="F78" s="41" t="s">
        <v>132</v>
      </c>
      <c r="G78" s="13" t="s">
        <v>51</v>
      </c>
      <c r="H78" s="41"/>
      <c r="I78" s="57" t="s">
        <v>132</v>
      </c>
      <c r="J78" s="13"/>
      <c r="L78" s="2"/>
    </row>
    <row r="79" spans="1:12" ht="18.75" x14ac:dyDescent="0.25">
      <c r="A79" s="46"/>
      <c r="B79" s="47"/>
      <c r="C79" s="22"/>
      <c r="D79" s="30"/>
      <c r="E79" s="45"/>
      <c r="F79" s="45"/>
      <c r="G79" s="31"/>
      <c r="H79" s="41"/>
      <c r="I79" s="59">
        <f>SUM(I63:I78)</f>
        <v>333938.8</v>
      </c>
      <c r="J79" s="13"/>
      <c r="L79" s="2"/>
    </row>
    <row r="80" spans="1:12" ht="18.75" x14ac:dyDescent="0.3">
      <c r="A80" s="77" t="s">
        <v>68</v>
      </c>
      <c r="B80" s="78"/>
      <c r="C80" s="78"/>
      <c r="D80" s="78"/>
      <c r="E80" s="78"/>
      <c r="F80" s="78"/>
      <c r="G80" s="79"/>
      <c r="H80" s="19"/>
      <c r="I80" s="61"/>
      <c r="J80" s="13"/>
      <c r="L80" s="2"/>
    </row>
    <row r="81" spans="1:12" ht="37.5" x14ac:dyDescent="0.25">
      <c r="A81" s="9" t="s">
        <v>89</v>
      </c>
      <c r="B81" s="8"/>
      <c r="C81" s="4"/>
      <c r="D81" s="4" t="s">
        <v>123</v>
      </c>
      <c r="E81" s="31"/>
      <c r="F81" s="13">
        <f>4+10+4+5+6+1+4+4+12+7+6+7</f>
        <v>70</v>
      </c>
      <c r="G81" s="13" t="s">
        <v>112</v>
      </c>
      <c r="H81" s="33">
        <f>(2808.4+7020.6+2808.4+3533.4+4238.8+705.4+2937.2+2937.2+8806.4+5203.6+4459.4+5203.6)/F81/3</f>
        <v>241.24952380952382</v>
      </c>
      <c r="I81" s="58">
        <f>F81*H81</f>
        <v>16887.466666666667</v>
      </c>
      <c r="J81" s="13" t="s">
        <v>113</v>
      </c>
      <c r="L81" s="2"/>
    </row>
    <row r="82" spans="1:12" ht="31.5" x14ac:dyDescent="0.25">
      <c r="A82" s="9"/>
      <c r="B82" s="8"/>
      <c r="C82" s="4"/>
      <c r="D82" s="15" t="s">
        <v>145</v>
      </c>
      <c r="E82" s="41" t="s">
        <v>132</v>
      </c>
      <c r="F82" s="41">
        <v>2</v>
      </c>
      <c r="G82" s="13" t="s">
        <v>31</v>
      </c>
      <c r="H82" s="44">
        <f>3066.4/F82</f>
        <v>1533.2</v>
      </c>
      <c r="I82" s="57">
        <f>F82*H82</f>
        <v>3066.4</v>
      </c>
      <c r="J82" s="13"/>
      <c r="L82" s="2"/>
    </row>
    <row r="83" spans="1:12" ht="31.5" x14ac:dyDescent="0.25">
      <c r="A83" s="9"/>
      <c r="B83" s="8"/>
      <c r="C83" s="4"/>
      <c r="D83" s="15" t="s">
        <v>151</v>
      </c>
      <c r="E83" s="41" t="s">
        <v>132</v>
      </c>
      <c r="F83" s="41" t="s">
        <v>132</v>
      </c>
      <c r="G83" s="13" t="s">
        <v>143</v>
      </c>
      <c r="H83" s="41"/>
      <c r="I83" s="57" t="s">
        <v>132</v>
      </c>
      <c r="J83" s="13"/>
      <c r="L83" s="2"/>
    </row>
    <row r="84" spans="1:12" ht="31.5" x14ac:dyDescent="0.25">
      <c r="A84" s="9"/>
      <c r="B84" s="8"/>
      <c r="C84" s="4"/>
      <c r="D84" s="15" t="s">
        <v>153</v>
      </c>
      <c r="E84" s="41" t="s">
        <v>132</v>
      </c>
      <c r="F84" s="41">
        <f>7</f>
        <v>7</v>
      </c>
      <c r="G84" s="13" t="s">
        <v>30</v>
      </c>
      <c r="H84" s="41">
        <f>2380/F84</f>
        <v>340</v>
      </c>
      <c r="I84" s="71">
        <f>F84*H84</f>
        <v>2380</v>
      </c>
      <c r="J84" s="13" t="s">
        <v>115</v>
      </c>
      <c r="L84" s="2"/>
    </row>
    <row r="85" spans="1:12" ht="78.75" x14ac:dyDescent="0.25">
      <c r="A85" s="9"/>
      <c r="B85" s="8"/>
      <c r="C85" s="4"/>
      <c r="D85" s="15" t="s">
        <v>178</v>
      </c>
      <c r="E85" s="41" t="s">
        <v>132</v>
      </c>
      <c r="F85" s="41">
        <f>2</f>
        <v>2</v>
      </c>
      <c r="G85" s="13" t="s">
        <v>31</v>
      </c>
      <c r="H85" s="41">
        <f>50.2/F85</f>
        <v>25.1</v>
      </c>
      <c r="I85" s="71">
        <f t="shared" ref="I85:I86" si="5">F85*H85</f>
        <v>50.2</v>
      </c>
      <c r="J85" s="13" t="s">
        <v>115</v>
      </c>
      <c r="L85" s="2"/>
    </row>
    <row r="86" spans="1:12" ht="47.25" x14ac:dyDescent="0.25">
      <c r="A86" s="9"/>
      <c r="B86" s="8"/>
      <c r="C86" s="4"/>
      <c r="D86" s="15" t="s">
        <v>201</v>
      </c>
      <c r="E86" s="41" t="s">
        <v>132</v>
      </c>
      <c r="F86" s="41">
        <v>1</v>
      </c>
      <c r="G86" s="13" t="s">
        <v>30</v>
      </c>
      <c r="H86" s="41">
        <f>1361/F86</f>
        <v>1361</v>
      </c>
      <c r="I86" s="71">
        <f t="shared" si="5"/>
        <v>1361</v>
      </c>
      <c r="J86" s="13" t="s">
        <v>115</v>
      </c>
      <c r="L86" s="2"/>
    </row>
    <row r="87" spans="1:12" ht="78.75" x14ac:dyDescent="0.25">
      <c r="A87" s="9"/>
      <c r="B87" s="8"/>
      <c r="C87" s="4"/>
      <c r="D87" s="15" t="s">
        <v>154</v>
      </c>
      <c r="E87" s="41" t="s">
        <v>132</v>
      </c>
      <c r="F87" s="41">
        <v>8</v>
      </c>
      <c r="G87" s="13" t="s">
        <v>31</v>
      </c>
      <c r="H87" s="41">
        <f>295.2/F87</f>
        <v>36.9</v>
      </c>
      <c r="I87" s="71">
        <f t="shared" ref="I87:I88" si="6">F87*H87</f>
        <v>295.2</v>
      </c>
      <c r="J87" s="13" t="s">
        <v>115</v>
      </c>
      <c r="L87" s="2"/>
    </row>
    <row r="88" spans="1:12" ht="47.25" x14ac:dyDescent="0.25">
      <c r="A88" s="9"/>
      <c r="B88" s="8"/>
      <c r="C88" s="4"/>
      <c r="D88" s="15" t="s">
        <v>142</v>
      </c>
      <c r="E88" s="41" t="s">
        <v>132</v>
      </c>
      <c r="F88" s="41">
        <v>6</v>
      </c>
      <c r="G88" s="13" t="s">
        <v>30</v>
      </c>
      <c r="H88" s="41">
        <f>4717.2/F88</f>
        <v>786.19999999999993</v>
      </c>
      <c r="I88" s="71">
        <f t="shared" si="6"/>
        <v>4717.2</v>
      </c>
      <c r="J88" s="13" t="s">
        <v>115</v>
      </c>
      <c r="L88" s="2"/>
    </row>
    <row r="89" spans="1:12" ht="18.75" x14ac:dyDescent="0.25">
      <c r="A89" s="9" t="s">
        <v>80</v>
      </c>
      <c r="B89" s="8"/>
      <c r="C89" s="4"/>
      <c r="D89" s="15" t="s">
        <v>66</v>
      </c>
      <c r="E89" s="41" t="s">
        <v>132</v>
      </c>
      <c r="F89" s="41" t="s">
        <v>132</v>
      </c>
      <c r="G89" s="13" t="s">
        <v>51</v>
      </c>
      <c r="H89" s="41"/>
      <c r="I89" s="57" t="s">
        <v>132</v>
      </c>
      <c r="J89" s="13"/>
      <c r="L89" s="2"/>
    </row>
    <row r="90" spans="1:12" ht="18.75" x14ac:dyDescent="0.25">
      <c r="A90" s="9"/>
      <c r="B90" s="8"/>
      <c r="C90" s="4"/>
      <c r="D90" s="15" t="s">
        <v>177</v>
      </c>
      <c r="E90" s="41"/>
      <c r="F90" s="41"/>
      <c r="G90" s="13" t="s">
        <v>51</v>
      </c>
      <c r="H90" s="41"/>
      <c r="I90" s="57"/>
      <c r="J90" s="13"/>
      <c r="L90" s="2"/>
    </row>
    <row r="91" spans="1:12" ht="18.75" x14ac:dyDescent="0.25">
      <c r="A91" s="9"/>
      <c r="B91" s="8"/>
      <c r="C91" s="4"/>
      <c r="D91" s="15" t="s">
        <v>165</v>
      </c>
      <c r="E91" s="41"/>
      <c r="F91" s="41"/>
      <c r="G91" s="13" t="s">
        <v>31</v>
      </c>
      <c r="H91" s="41"/>
      <c r="I91" s="57"/>
      <c r="J91" s="13"/>
      <c r="L91" s="2"/>
    </row>
    <row r="92" spans="1:12" ht="31.5" x14ac:dyDescent="0.25">
      <c r="A92" s="9" t="s">
        <v>21</v>
      </c>
      <c r="B92" s="8"/>
      <c r="C92" s="4"/>
      <c r="D92" s="15" t="s">
        <v>67</v>
      </c>
      <c r="E92" s="41" t="s">
        <v>132</v>
      </c>
      <c r="F92" s="41" t="s">
        <v>132</v>
      </c>
      <c r="G92" s="13" t="s">
        <v>135</v>
      </c>
      <c r="H92" s="41"/>
      <c r="I92" s="57" t="s">
        <v>132</v>
      </c>
      <c r="J92" s="13"/>
      <c r="L92" s="2"/>
    </row>
    <row r="93" spans="1:12" ht="18.75" x14ac:dyDescent="0.25">
      <c r="A93" s="46"/>
      <c r="B93" s="47"/>
      <c r="C93" s="22"/>
      <c r="D93" s="30"/>
      <c r="E93" s="45"/>
      <c r="F93" s="45"/>
      <c r="G93" s="31"/>
      <c r="H93" s="41"/>
      <c r="I93" s="59">
        <f>SUM(I81:I92)</f>
        <v>28757.466666666671</v>
      </c>
      <c r="J93" s="13"/>
      <c r="L93" s="2"/>
    </row>
    <row r="94" spans="1:12" ht="18.75" x14ac:dyDescent="0.3">
      <c r="A94" s="77" t="s">
        <v>69</v>
      </c>
      <c r="B94" s="78"/>
      <c r="C94" s="78"/>
      <c r="D94" s="78"/>
      <c r="E94" s="78"/>
      <c r="F94" s="78"/>
      <c r="G94" s="79"/>
      <c r="H94" s="13"/>
      <c r="I94" s="61"/>
      <c r="J94" s="13"/>
      <c r="L94" s="2"/>
    </row>
    <row r="95" spans="1:12" ht="37.5" x14ac:dyDescent="0.25">
      <c r="A95" s="9" t="s">
        <v>89</v>
      </c>
      <c r="B95" s="8"/>
      <c r="C95" s="4"/>
      <c r="D95" s="4" t="s">
        <v>124</v>
      </c>
      <c r="E95" s="31"/>
      <c r="F95" s="13">
        <f>4+10+4+5+6+1+4+4+12+7+6+7</f>
        <v>70</v>
      </c>
      <c r="G95" s="13" t="s">
        <v>112</v>
      </c>
      <c r="H95" s="33">
        <f>(2808.4+7020.6+2808.4+3533.4+4238.8+705.4+2937.2+2937.2+8806.4+5203.6+4459.4+5203.6)/F95/3</f>
        <v>241.24952380952382</v>
      </c>
      <c r="I95" s="58">
        <f>F95*H95</f>
        <v>16887.466666666667</v>
      </c>
      <c r="J95" s="13" t="s">
        <v>113</v>
      </c>
      <c r="L95" s="2"/>
    </row>
    <row r="96" spans="1:12" ht="18.75" x14ac:dyDescent="0.25">
      <c r="A96" s="9" t="s">
        <v>80</v>
      </c>
      <c r="B96" s="8"/>
      <c r="C96" s="4"/>
      <c r="D96" s="15" t="s">
        <v>66</v>
      </c>
      <c r="E96" s="41" t="s">
        <v>132</v>
      </c>
      <c r="F96" s="41" t="s">
        <v>132</v>
      </c>
      <c r="G96" s="14" t="s">
        <v>51</v>
      </c>
      <c r="H96" s="41"/>
      <c r="I96" s="57" t="s">
        <v>132</v>
      </c>
      <c r="J96" s="13"/>
      <c r="L96" s="2"/>
    </row>
    <row r="97" spans="1:12" ht="31.5" x14ac:dyDescent="0.25">
      <c r="A97" s="9" t="s">
        <v>21</v>
      </c>
      <c r="B97" s="8"/>
      <c r="C97" s="4"/>
      <c r="D97" s="15" t="s">
        <v>67</v>
      </c>
      <c r="E97" s="41" t="s">
        <v>132</v>
      </c>
      <c r="F97" s="41" t="s">
        <v>132</v>
      </c>
      <c r="G97" s="14" t="s">
        <v>51</v>
      </c>
      <c r="H97" s="41"/>
      <c r="I97" s="57" t="s">
        <v>132</v>
      </c>
      <c r="J97" s="13"/>
      <c r="L97" s="2"/>
    </row>
    <row r="98" spans="1:12" ht="18.75" x14ac:dyDescent="0.25">
      <c r="A98" s="46"/>
      <c r="B98" s="47"/>
      <c r="C98" s="22"/>
      <c r="D98" s="30"/>
      <c r="E98" s="45"/>
      <c r="F98" s="45"/>
      <c r="G98" s="12"/>
      <c r="H98" s="41"/>
      <c r="I98" s="59">
        <f>SUM(I95:I97)</f>
        <v>16887.466666666667</v>
      </c>
      <c r="J98" s="13"/>
      <c r="L98" s="2"/>
    </row>
    <row r="99" spans="1:12" ht="18.75" x14ac:dyDescent="0.3">
      <c r="A99" s="77" t="s">
        <v>70</v>
      </c>
      <c r="B99" s="78"/>
      <c r="C99" s="78"/>
      <c r="D99" s="78"/>
      <c r="E99" s="78"/>
      <c r="F99" s="78"/>
      <c r="G99" s="79"/>
      <c r="H99" s="19"/>
      <c r="I99" s="61"/>
      <c r="J99" s="13"/>
      <c r="L99" s="2"/>
    </row>
    <row r="100" spans="1:12" ht="37.5" x14ac:dyDescent="0.25">
      <c r="A100" s="9" t="s">
        <v>94</v>
      </c>
      <c r="B100" s="8"/>
      <c r="C100" s="4"/>
      <c r="D100" s="4" t="s">
        <v>125</v>
      </c>
      <c r="E100" s="31"/>
      <c r="F100" s="13">
        <f>4+10+4+5+6+1+4+4+12+7+6+7</f>
        <v>70</v>
      </c>
      <c r="G100" s="13" t="s">
        <v>112</v>
      </c>
      <c r="H100" s="33">
        <f>(2808.4+7020.6+2808.4+3533.4+4238.8+705.4+2937.2+2937.2+8806.4+5203.6+4459.4+5203.6)/F100/3</f>
        <v>241.24952380952382</v>
      </c>
      <c r="I100" s="58">
        <f>F100*H100</f>
        <v>16887.466666666667</v>
      </c>
      <c r="J100" s="13" t="s">
        <v>113</v>
      </c>
      <c r="L100" s="2"/>
    </row>
    <row r="101" spans="1:12" ht="18.75" x14ac:dyDescent="0.25">
      <c r="A101" s="9"/>
      <c r="B101" s="8"/>
      <c r="C101" s="4"/>
      <c r="D101" s="4" t="s">
        <v>111</v>
      </c>
      <c r="E101" s="41"/>
      <c r="F101" s="41">
        <f>6+3+6+4+18</f>
        <v>37</v>
      </c>
      <c r="G101" s="13" t="s">
        <v>30</v>
      </c>
      <c r="H101" s="44">
        <f>(2037.2+1061.4+2123.4+1415.4+6443.4)/F101</f>
        <v>353.53513513513514</v>
      </c>
      <c r="I101" s="57">
        <f>F101*H101</f>
        <v>13080.8</v>
      </c>
      <c r="J101" s="13" t="s">
        <v>138</v>
      </c>
      <c r="L101" s="2"/>
    </row>
    <row r="102" spans="1:12" ht="18.75" x14ac:dyDescent="0.25">
      <c r="A102" s="9"/>
      <c r="B102" s="8"/>
      <c r="C102" s="4"/>
      <c r="D102" s="4" t="s">
        <v>144</v>
      </c>
      <c r="E102" s="41"/>
      <c r="F102" s="41"/>
      <c r="G102" s="13" t="s">
        <v>30</v>
      </c>
      <c r="H102" s="41"/>
      <c r="I102" s="57" t="s">
        <v>132</v>
      </c>
      <c r="J102" s="13"/>
      <c r="L102" s="2"/>
    </row>
    <row r="103" spans="1:12" ht="18.75" x14ac:dyDescent="0.25">
      <c r="A103" s="9"/>
      <c r="B103" s="8"/>
      <c r="C103" s="4"/>
      <c r="D103" s="4" t="s">
        <v>155</v>
      </c>
      <c r="E103" s="41"/>
      <c r="F103" s="41">
        <f>80+4+10+10+90+20</f>
        <v>214</v>
      </c>
      <c r="G103" s="13" t="s">
        <v>129</v>
      </c>
      <c r="H103" s="44">
        <f>(5215.4+270.8+681.4+681.4+6207.2+1378.4)/F103</f>
        <v>67.451401869158872</v>
      </c>
      <c r="I103" s="57">
        <f>F103*H103</f>
        <v>14434.599999999999</v>
      </c>
      <c r="J103" s="13" t="s">
        <v>113</v>
      </c>
      <c r="L103" s="2"/>
    </row>
    <row r="104" spans="1:12" ht="18.75" x14ac:dyDescent="0.25">
      <c r="A104" s="9"/>
      <c r="B104" s="8"/>
      <c r="C104" s="4"/>
      <c r="D104" s="4" t="s">
        <v>156</v>
      </c>
      <c r="E104" s="41" t="s">
        <v>132</v>
      </c>
      <c r="F104" s="41" t="s">
        <v>132</v>
      </c>
      <c r="G104" s="13" t="s">
        <v>129</v>
      </c>
      <c r="H104" s="41"/>
      <c r="I104" s="57" t="s">
        <v>132</v>
      </c>
      <c r="J104" s="13"/>
      <c r="L104" s="2"/>
    </row>
    <row r="105" spans="1:12" ht="18.75" x14ac:dyDescent="0.25">
      <c r="A105" s="9"/>
      <c r="B105" s="8"/>
      <c r="C105" s="4"/>
      <c r="D105" s="4" t="s">
        <v>161</v>
      </c>
      <c r="E105" s="41" t="s">
        <v>132</v>
      </c>
      <c r="F105" s="41" t="s">
        <v>132</v>
      </c>
      <c r="G105" s="13" t="s">
        <v>31</v>
      </c>
      <c r="H105" s="41"/>
      <c r="I105" s="57" t="s">
        <v>132</v>
      </c>
      <c r="J105" s="13"/>
      <c r="L105" s="2"/>
    </row>
    <row r="106" spans="1:12" ht="18.75" x14ac:dyDescent="0.25">
      <c r="A106" s="9" t="s">
        <v>22</v>
      </c>
      <c r="B106" s="8"/>
      <c r="C106" s="4"/>
      <c r="D106" s="4" t="s">
        <v>73</v>
      </c>
      <c r="E106" s="41" t="s">
        <v>132</v>
      </c>
      <c r="F106" s="41" t="s">
        <v>132</v>
      </c>
      <c r="G106" s="13" t="s">
        <v>30</v>
      </c>
      <c r="H106" s="41"/>
      <c r="I106" s="57" t="s">
        <v>132</v>
      </c>
      <c r="J106" s="13"/>
      <c r="L106" s="2"/>
    </row>
    <row r="107" spans="1:12" ht="18.75" x14ac:dyDescent="0.25">
      <c r="A107" s="46"/>
      <c r="B107" s="47"/>
      <c r="C107" s="22"/>
      <c r="D107" s="22"/>
      <c r="E107" s="45"/>
      <c r="F107" s="45"/>
      <c r="G107" s="31"/>
      <c r="H107" s="41"/>
      <c r="I107" s="59">
        <f>SUM(I100:I106)</f>
        <v>44402.866666666669</v>
      </c>
      <c r="J107" s="13"/>
      <c r="L107" s="2"/>
    </row>
    <row r="108" spans="1:12" ht="18.75" x14ac:dyDescent="0.3">
      <c r="A108" s="77" t="s">
        <v>75</v>
      </c>
      <c r="B108" s="78"/>
      <c r="C108" s="78"/>
      <c r="D108" s="78"/>
      <c r="E108" s="78"/>
      <c r="F108" s="78"/>
      <c r="G108" s="79"/>
      <c r="H108" s="5"/>
      <c r="I108" s="61"/>
      <c r="J108" s="13"/>
      <c r="L108" s="2"/>
    </row>
    <row r="109" spans="1:12" ht="38.25" customHeight="1" x14ac:dyDescent="0.25">
      <c r="A109" s="9" t="s">
        <v>23</v>
      </c>
      <c r="B109" s="5"/>
      <c r="C109" s="4"/>
      <c r="D109" s="15" t="s">
        <v>133</v>
      </c>
      <c r="E109" s="41" t="s">
        <v>132</v>
      </c>
      <c r="F109" s="41" t="s">
        <v>132</v>
      </c>
      <c r="G109" s="13" t="s">
        <v>51</v>
      </c>
      <c r="H109" s="41"/>
      <c r="I109" s="57" t="s">
        <v>132</v>
      </c>
      <c r="J109" s="13"/>
      <c r="L109" s="2"/>
    </row>
    <row r="110" spans="1:12" ht="38.25" customHeight="1" x14ac:dyDescent="0.25">
      <c r="A110" s="9"/>
      <c r="B110" s="5"/>
      <c r="C110" s="4"/>
      <c r="D110" s="15" t="s">
        <v>149</v>
      </c>
      <c r="E110" s="41" t="s">
        <v>132</v>
      </c>
      <c r="F110" s="41" t="s">
        <v>132</v>
      </c>
      <c r="G110" s="13" t="s">
        <v>31</v>
      </c>
      <c r="H110" s="41"/>
      <c r="I110" s="57" t="s">
        <v>132</v>
      </c>
      <c r="J110" s="13"/>
      <c r="L110" s="2"/>
    </row>
    <row r="111" spans="1:12" ht="18.75" x14ac:dyDescent="0.25">
      <c r="A111" s="9" t="s">
        <v>24</v>
      </c>
      <c r="B111" s="5"/>
      <c r="C111" s="4"/>
      <c r="D111" s="4" t="s">
        <v>74</v>
      </c>
      <c r="E111" s="41" t="s">
        <v>132</v>
      </c>
      <c r="F111" s="41" t="s">
        <v>132</v>
      </c>
      <c r="G111" s="13" t="s">
        <v>51</v>
      </c>
      <c r="H111" s="41"/>
      <c r="I111" s="57" t="s">
        <v>132</v>
      </c>
      <c r="J111" s="13"/>
      <c r="L111" s="2"/>
    </row>
    <row r="112" spans="1:12" ht="31.5" x14ac:dyDescent="0.25">
      <c r="A112" s="9" t="s">
        <v>122</v>
      </c>
      <c r="B112" s="5"/>
      <c r="C112" s="4"/>
      <c r="D112" s="15" t="s">
        <v>140</v>
      </c>
      <c r="E112" s="41"/>
      <c r="F112" s="41"/>
      <c r="G112" s="13" t="s">
        <v>51</v>
      </c>
      <c r="H112" s="41"/>
      <c r="I112" s="57"/>
      <c r="J112" s="13"/>
      <c r="L112" s="2"/>
    </row>
    <row r="113" spans="1:12" ht="18.75" x14ac:dyDescent="0.25">
      <c r="A113" s="9"/>
      <c r="B113" s="5"/>
      <c r="C113" s="4"/>
      <c r="D113" s="15" t="s">
        <v>103</v>
      </c>
      <c r="E113" s="32"/>
      <c r="F113" s="13">
        <f>1+1+2+4+1+5</f>
        <v>14</v>
      </c>
      <c r="G113" s="13" t="s">
        <v>51</v>
      </c>
      <c r="H113" s="33">
        <f>(208.4+170+343+686+172.02+864.2)/F113</f>
        <v>174.54428571428571</v>
      </c>
      <c r="I113" s="60">
        <f t="shared" ref="I113" si="7">F113*H113</f>
        <v>2443.62</v>
      </c>
      <c r="J113" s="13" t="s">
        <v>113</v>
      </c>
      <c r="L113" s="2"/>
    </row>
    <row r="114" spans="1:12" ht="56.25" x14ac:dyDescent="0.25">
      <c r="A114" s="9" t="s">
        <v>104</v>
      </c>
      <c r="B114" s="5"/>
      <c r="C114" s="4"/>
      <c r="D114" s="15" t="s">
        <v>120</v>
      </c>
      <c r="E114" s="32"/>
      <c r="F114" s="13">
        <f>54+54+54+54+54+54+54+54+54+54+54+54</f>
        <v>648</v>
      </c>
      <c r="G114" s="13" t="s">
        <v>105</v>
      </c>
      <c r="H114" s="33">
        <f>(2367.4+2367.4+2367.4+2381.6+2381.6+2381.6+2474.4+2474.4+2474.4+2505+2505+2505)/F114</f>
        <v>45.038888888888899</v>
      </c>
      <c r="I114" s="60">
        <f>F114*H114</f>
        <v>29185.200000000008</v>
      </c>
      <c r="J114" s="13" t="s">
        <v>113</v>
      </c>
      <c r="L114" s="2"/>
    </row>
    <row r="115" spans="1:12" ht="18.75" x14ac:dyDescent="0.25">
      <c r="A115" s="46"/>
      <c r="B115" s="22"/>
      <c r="C115" s="22"/>
      <c r="D115" s="30"/>
      <c r="E115" s="48"/>
      <c r="F115" s="49"/>
      <c r="G115" s="31"/>
      <c r="H115" s="31"/>
      <c r="I115" s="60">
        <f>SUM(I112:I114)</f>
        <v>31628.820000000007</v>
      </c>
      <c r="J115" s="13"/>
      <c r="L115" s="2"/>
    </row>
    <row r="116" spans="1:12" ht="18.75" x14ac:dyDescent="0.25">
      <c r="A116" s="84" t="s">
        <v>88</v>
      </c>
      <c r="B116" s="85"/>
      <c r="C116" s="85"/>
      <c r="D116" s="85"/>
      <c r="E116" s="85"/>
      <c r="F116" s="85"/>
      <c r="G116" s="86"/>
      <c r="H116" s="12"/>
      <c r="I116" s="61"/>
      <c r="J116" s="13"/>
      <c r="L116" s="2"/>
    </row>
    <row r="117" spans="1:12" ht="18.75" x14ac:dyDescent="0.25">
      <c r="A117" s="26"/>
      <c r="B117" s="27"/>
      <c r="C117" s="27"/>
      <c r="D117" s="36" t="s">
        <v>114</v>
      </c>
      <c r="E117" s="41"/>
      <c r="F117" s="41">
        <f>10+1</f>
        <v>11</v>
      </c>
      <c r="G117" s="38" t="s">
        <v>31</v>
      </c>
      <c r="H117" s="44">
        <f>(13150.6+1355.4)/F117</f>
        <v>1318.7272727272727</v>
      </c>
      <c r="I117" s="57">
        <f>F117*H117</f>
        <v>14506</v>
      </c>
      <c r="J117" s="13" t="s">
        <v>138</v>
      </c>
      <c r="L117" s="2"/>
    </row>
    <row r="118" spans="1:12" ht="63" x14ac:dyDescent="0.25">
      <c r="A118" s="9" t="s">
        <v>86</v>
      </c>
      <c r="B118" s="22"/>
      <c r="C118" s="22"/>
      <c r="D118" s="23" t="s">
        <v>116</v>
      </c>
      <c r="E118" s="37">
        <v>876</v>
      </c>
      <c r="F118" s="13">
        <v>876</v>
      </c>
      <c r="G118" s="31" t="s">
        <v>87</v>
      </c>
      <c r="H118" s="31">
        <v>4.8</v>
      </c>
      <c r="I118" s="60">
        <f>F118*H118*12</f>
        <v>50457.600000000006</v>
      </c>
      <c r="J118" s="13" t="s">
        <v>113</v>
      </c>
      <c r="L118" s="2"/>
    </row>
    <row r="119" spans="1:12" ht="18.75" x14ac:dyDescent="0.25">
      <c r="A119" s="46"/>
      <c r="B119" s="22"/>
      <c r="C119" s="22"/>
      <c r="D119" s="30"/>
      <c r="E119" s="48"/>
      <c r="F119" s="49"/>
      <c r="G119" s="31"/>
      <c r="H119" s="31"/>
      <c r="I119" s="60">
        <f>SUM(I117:I118)</f>
        <v>64963.600000000006</v>
      </c>
      <c r="J119" s="13"/>
      <c r="L119" s="2"/>
    </row>
    <row r="120" spans="1:12" ht="18.75" x14ac:dyDescent="0.3">
      <c r="A120" s="77" t="s">
        <v>76</v>
      </c>
      <c r="B120" s="78"/>
      <c r="C120" s="78"/>
      <c r="D120" s="78"/>
      <c r="E120" s="78"/>
      <c r="F120" s="78"/>
      <c r="G120" s="79"/>
      <c r="H120" s="19"/>
      <c r="I120" s="61"/>
      <c r="J120" s="13"/>
      <c r="L120" s="2"/>
    </row>
    <row r="121" spans="1:12" ht="46.5" customHeight="1" x14ac:dyDescent="0.3">
      <c r="A121" s="34" t="s">
        <v>127</v>
      </c>
      <c r="B121" s="24"/>
      <c r="C121" s="24"/>
      <c r="D121" s="35" t="s">
        <v>126</v>
      </c>
      <c r="E121" s="13">
        <v>432</v>
      </c>
      <c r="F121" s="13">
        <v>432</v>
      </c>
      <c r="G121" s="13" t="s">
        <v>131</v>
      </c>
      <c r="H121" s="13">
        <v>13</v>
      </c>
      <c r="I121" s="60">
        <f>F121*H121*3</f>
        <v>16848</v>
      </c>
      <c r="J121" s="13" t="s">
        <v>139</v>
      </c>
      <c r="L121" s="2"/>
    </row>
    <row r="122" spans="1:12" ht="18.75" x14ac:dyDescent="0.25">
      <c r="A122" s="9" t="s">
        <v>25</v>
      </c>
      <c r="B122" s="5"/>
      <c r="C122" s="4"/>
      <c r="D122" s="4" t="s">
        <v>72</v>
      </c>
      <c r="E122" s="41" t="s">
        <v>132</v>
      </c>
      <c r="F122" s="41" t="s">
        <v>132</v>
      </c>
      <c r="G122" s="14" t="s">
        <v>51</v>
      </c>
      <c r="H122" s="41" t="s">
        <v>132</v>
      </c>
      <c r="I122" s="57" t="s">
        <v>132</v>
      </c>
      <c r="J122" s="13"/>
      <c r="L122" s="2"/>
    </row>
    <row r="123" spans="1:12" ht="47.25" x14ac:dyDescent="0.25">
      <c r="A123" s="9" t="s">
        <v>26</v>
      </c>
      <c r="B123" s="5"/>
      <c r="C123" s="4"/>
      <c r="D123" s="15" t="s">
        <v>28</v>
      </c>
      <c r="E123" s="41" t="s">
        <v>132</v>
      </c>
      <c r="F123" s="41" t="s">
        <v>132</v>
      </c>
      <c r="G123" s="14" t="s">
        <v>51</v>
      </c>
      <c r="H123" s="41" t="s">
        <v>132</v>
      </c>
      <c r="I123" s="57" t="s">
        <v>132</v>
      </c>
      <c r="J123" s="13"/>
      <c r="L123" s="2"/>
    </row>
    <row r="124" spans="1:12" ht="31.5" x14ac:dyDescent="0.25">
      <c r="A124" s="9" t="s">
        <v>27</v>
      </c>
      <c r="B124" s="5"/>
      <c r="C124" s="4"/>
      <c r="D124" s="15" t="s">
        <v>71</v>
      </c>
      <c r="E124" s="41" t="s">
        <v>132</v>
      </c>
      <c r="F124" s="41" t="s">
        <v>132</v>
      </c>
      <c r="G124" s="14" t="s">
        <v>51</v>
      </c>
      <c r="H124" s="41" t="s">
        <v>132</v>
      </c>
      <c r="I124" s="57" t="s">
        <v>132</v>
      </c>
      <c r="J124" s="13"/>
      <c r="L124" s="2"/>
    </row>
    <row r="125" spans="1:12" ht="18.75" x14ac:dyDescent="0.25">
      <c r="A125" s="46"/>
      <c r="B125" s="22"/>
      <c r="C125" s="22"/>
      <c r="D125" s="30"/>
      <c r="E125" s="45"/>
      <c r="F125" s="45"/>
      <c r="G125" s="12"/>
      <c r="H125" s="50"/>
      <c r="I125" s="62">
        <f>SUM(I121:I124)</f>
        <v>16848</v>
      </c>
      <c r="J125" s="51"/>
      <c r="L125" s="2"/>
    </row>
    <row r="126" spans="1:12" ht="18.75" x14ac:dyDescent="0.3">
      <c r="A126" s="77" t="s">
        <v>81</v>
      </c>
      <c r="B126" s="78"/>
      <c r="C126" s="78"/>
      <c r="D126" s="78"/>
      <c r="E126" s="78"/>
      <c r="F126" s="78"/>
      <c r="G126" s="79"/>
      <c r="H126" s="2"/>
      <c r="I126" s="63"/>
      <c r="J126" s="2"/>
      <c r="K126" s="2"/>
      <c r="L126" s="2"/>
    </row>
    <row r="127" spans="1:12" ht="48" x14ac:dyDescent="0.3">
      <c r="A127" s="6" t="s">
        <v>63</v>
      </c>
      <c r="B127" s="6"/>
      <c r="C127" s="4"/>
      <c r="D127" s="15" t="s">
        <v>82</v>
      </c>
      <c r="E127" s="41" t="s">
        <v>132</v>
      </c>
      <c r="F127" s="41">
        <f>1</f>
        <v>1</v>
      </c>
      <c r="G127" s="13" t="s">
        <v>110</v>
      </c>
      <c r="H127" s="41">
        <f>592/F127</f>
        <v>592</v>
      </c>
      <c r="I127" s="57">
        <f>F127*H127</f>
        <v>592</v>
      </c>
      <c r="J127" s="13" t="s">
        <v>118</v>
      </c>
      <c r="L127" s="2"/>
    </row>
    <row r="128" spans="1:12" ht="32.25" x14ac:dyDescent="0.3">
      <c r="A128" s="28"/>
      <c r="B128" s="29"/>
      <c r="C128" s="22"/>
      <c r="D128" s="40" t="s">
        <v>106</v>
      </c>
      <c r="E128" s="41">
        <v>1</v>
      </c>
      <c r="F128" s="41">
        <v>1</v>
      </c>
      <c r="G128" s="13" t="s">
        <v>107</v>
      </c>
      <c r="H128" s="41">
        <v>22950</v>
      </c>
      <c r="I128" s="64">
        <f>F128*H128</f>
        <v>22950</v>
      </c>
      <c r="J128" s="39" t="s">
        <v>115</v>
      </c>
      <c r="L128" s="2"/>
    </row>
    <row r="129" spans="1:12" ht="18.75" x14ac:dyDescent="0.3">
      <c r="A129" s="28"/>
      <c r="B129" s="29"/>
      <c r="C129" s="22"/>
      <c r="D129" s="30"/>
      <c r="E129" s="45"/>
      <c r="F129" s="45"/>
      <c r="G129" s="31"/>
      <c r="H129" s="45"/>
      <c r="I129" s="52">
        <f>SUM(I128)</f>
        <v>22950</v>
      </c>
      <c r="J129" s="53"/>
      <c r="L129" s="2"/>
    </row>
    <row r="130" spans="1:12" ht="18.75" x14ac:dyDescent="0.3">
      <c r="A130" s="77" t="s">
        <v>95</v>
      </c>
      <c r="B130" s="78"/>
      <c r="C130" s="78"/>
      <c r="D130" s="78"/>
      <c r="E130" s="78"/>
      <c r="F130" s="78"/>
      <c r="G130" s="79"/>
      <c r="H130" s="77"/>
      <c r="I130" s="78"/>
      <c r="J130" s="78"/>
      <c r="L130" s="2"/>
    </row>
    <row r="131" spans="1:12" ht="32.25" x14ac:dyDescent="0.3">
      <c r="A131" s="34" t="s">
        <v>137</v>
      </c>
      <c r="B131" s="24"/>
      <c r="C131" s="24"/>
      <c r="D131" s="40" t="s">
        <v>202</v>
      </c>
      <c r="E131" s="13"/>
      <c r="F131" s="13">
        <f>9.65</f>
        <v>9.65</v>
      </c>
      <c r="G131" s="13" t="s">
        <v>136</v>
      </c>
      <c r="H131" s="33">
        <f>7356.2/F131</f>
        <v>762.30051813471493</v>
      </c>
      <c r="I131" s="68">
        <f t="shared" ref="I131:I134" si="8">F131*H131</f>
        <v>7356.2</v>
      </c>
      <c r="J131" s="13" t="s">
        <v>119</v>
      </c>
      <c r="L131" s="2"/>
    </row>
    <row r="132" spans="1:12" ht="48" x14ac:dyDescent="0.3">
      <c r="A132" s="24"/>
      <c r="B132" s="24"/>
      <c r="C132" s="24"/>
      <c r="D132" s="40" t="s">
        <v>128</v>
      </c>
      <c r="E132" s="41"/>
      <c r="F132" s="41"/>
      <c r="G132" s="13" t="s">
        <v>129</v>
      </c>
      <c r="H132" s="41"/>
      <c r="I132" s="67"/>
      <c r="J132" s="13"/>
      <c r="L132" s="2"/>
    </row>
    <row r="133" spans="1:12" ht="32.25" x14ac:dyDescent="0.3">
      <c r="A133" s="24"/>
      <c r="B133" s="24"/>
      <c r="C133" s="24"/>
      <c r="D133" s="40" t="s">
        <v>173</v>
      </c>
      <c r="E133" s="13"/>
      <c r="F133" s="13">
        <f>120+100</f>
        <v>220</v>
      </c>
      <c r="G133" s="13" t="s">
        <v>130</v>
      </c>
      <c r="H133" s="33">
        <f>(5500+4583)/F133</f>
        <v>45.831818181818178</v>
      </c>
      <c r="I133" s="68">
        <f t="shared" si="8"/>
        <v>10083</v>
      </c>
      <c r="J133" s="13" t="s">
        <v>119</v>
      </c>
      <c r="L133" s="2"/>
    </row>
    <row r="134" spans="1:12" ht="32.25" x14ac:dyDescent="0.3">
      <c r="A134" s="24"/>
      <c r="B134" s="24"/>
      <c r="C134" s="24"/>
      <c r="D134" s="40" t="s">
        <v>174</v>
      </c>
      <c r="E134" s="13"/>
      <c r="F134" s="13">
        <f>25</f>
        <v>25</v>
      </c>
      <c r="G134" s="13" t="s">
        <v>130</v>
      </c>
      <c r="H134" s="33">
        <f>1146/F134</f>
        <v>45.84</v>
      </c>
      <c r="I134" s="68">
        <f t="shared" si="8"/>
        <v>1146</v>
      </c>
      <c r="J134" s="13" t="s">
        <v>119</v>
      </c>
      <c r="L134" s="2"/>
    </row>
    <row r="135" spans="1:12" ht="32.25" x14ac:dyDescent="0.3">
      <c r="A135" s="24"/>
      <c r="B135" s="24"/>
      <c r="C135" s="24"/>
      <c r="D135" s="40" t="s">
        <v>190</v>
      </c>
      <c r="E135" s="13"/>
      <c r="F135" s="13">
        <f>1+1</f>
        <v>2</v>
      </c>
      <c r="G135" s="13" t="s">
        <v>31</v>
      </c>
      <c r="H135" s="33">
        <f>(15000+15000)/F135</f>
        <v>15000</v>
      </c>
      <c r="I135" s="69">
        <f t="shared" ref="I135:I139" si="9">F135*H135</f>
        <v>30000</v>
      </c>
      <c r="J135" s="13" t="s">
        <v>118</v>
      </c>
      <c r="L135" s="2"/>
    </row>
    <row r="136" spans="1:12" ht="18.75" x14ac:dyDescent="0.3">
      <c r="A136" s="24"/>
      <c r="B136" s="24"/>
      <c r="C136" s="24"/>
      <c r="D136" s="40" t="s">
        <v>196</v>
      </c>
      <c r="E136" s="13"/>
      <c r="F136" s="13">
        <v>2.5</v>
      </c>
      <c r="G136" s="13" t="s">
        <v>110</v>
      </c>
      <c r="H136" s="33">
        <f>27003/F136</f>
        <v>10801.2</v>
      </c>
      <c r="I136" s="69">
        <f>F136*H136</f>
        <v>27003</v>
      </c>
      <c r="J136" s="13" t="s">
        <v>118</v>
      </c>
      <c r="L136" s="2"/>
    </row>
    <row r="137" spans="1:12" ht="18.75" x14ac:dyDescent="0.3">
      <c r="A137" s="24"/>
      <c r="B137" s="24"/>
      <c r="C137" s="24"/>
      <c r="D137" s="40" t="s">
        <v>197</v>
      </c>
      <c r="E137" s="13"/>
      <c r="F137" s="13">
        <v>1</v>
      </c>
      <c r="G137" s="13" t="s">
        <v>31</v>
      </c>
      <c r="H137" s="33">
        <f>11670/F137</f>
        <v>11670</v>
      </c>
      <c r="I137" s="69">
        <f>F137*H137</f>
        <v>11670</v>
      </c>
      <c r="J137" s="13" t="s">
        <v>118</v>
      </c>
      <c r="L137" s="2"/>
    </row>
    <row r="138" spans="1:12" ht="32.25" x14ac:dyDescent="0.3">
      <c r="A138" s="70" t="s">
        <v>188</v>
      </c>
      <c r="B138" s="24"/>
      <c r="C138" s="24"/>
      <c r="D138" s="40" t="s">
        <v>189</v>
      </c>
      <c r="E138" s="13"/>
      <c r="F138" s="13">
        <v>2</v>
      </c>
      <c r="G138" s="38" t="s">
        <v>31</v>
      </c>
      <c r="H138" s="33">
        <f>440000/F138</f>
        <v>220000</v>
      </c>
      <c r="I138" s="69">
        <f>F138*H138</f>
        <v>440000</v>
      </c>
      <c r="J138" s="13" t="s">
        <v>115</v>
      </c>
      <c r="L138" s="2"/>
    </row>
    <row r="139" spans="1:12" ht="48" x14ac:dyDescent="0.3">
      <c r="A139" s="24"/>
      <c r="B139" s="24"/>
      <c r="C139" s="24"/>
      <c r="D139" s="40" t="s">
        <v>187</v>
      </c>
      <c r="E139" s="13"/>
      <c r="F139" s="13">
        <f>2</f>
        <v>2</v>
      </c>
      <c r="G139" s="13" t="s">
        <v>110</v>
      </c>
      <c r="H139" s="33">
        <f>970/F139</f>
        <v>485</v>
      </c>
      <c r="I139" s="69">
        <f t="shared" si="9"/>
        <v>970</v>
      </c>
      <c r="J139" s="13" t="s">
        <v>118</v>
      </c>
      <c r="L139" s="2"/>
    </row>
    <row r="140" spans="1:12" ht="18.75" x14ac:dyDescent="0.3">
      <c r="A140" s="34" t="s">
        <v>146</v>
      </c>
      <c r="B140" s="14"/>
      <c r="C140" s="14"/>
      <c r="D140" s="40" t="s">
        <v>185</v>
      </c>
      <c r="E140" s="41" t="s">
        <v>132</v>
      </c>
      <c r="F140" s="41">
        <f>1</f>
        <v>1</v>
      </c>
      <c r="G140" s="13" t="s">
        <v>31</v>
      </c>
      <c r="H140" s="41">
        <f>1170/F140</f>
        <v>1170</v>
      </c>
      <c r="I140" s="66">
        <f>F140*H140</f>
        <v>1170</v>
      </c>
      <c r="J140" s="14" t="s">
        <v>118</v>
      </c>
      <c r="L140" s="2"/>
    </row>
    <row r="141" spans="1:12" ht="32.25" x14ac:dyDescent="0.3">
      <c r="A141" s="34"/>
      <c r="B141" s="14"/>
      <c r="C141" s="14"/>
      <c r="D141" s="40" t="s">
        <v>198</v>
      </c>
      <c r="E141" s="41"/>
      <c r="F141" s="41">
        <v>4</v>
      </c>
      <c r="G141" s="13" t="s">
        <v>31</v>
      </c>
      <c r="H141" s="41">
        <f>(90506+30623.8)/F141</f>
        <v>30282.45</v>
      </c>
      <c r="I141" s="66">
        <f>F141*H141</f>
        <v>121129.8</v>
      </c>
      <c r="J141" s="14" t="s">
        <v>118</v>
      </c>
      <c r="L141" s="2"/>
    </row>
    <row r="142" spans="1:12" ht="18.75" x14ac:dyDescent="0.3">
      <c r="A142" s="34"/>
      <c r="B142" s="14"/>
      <c r="C142" s="14"/>
      <c r="D142" s="40" t="s">
        <v>199</v>
      </c>
      <c r="E142" s="41"/>
      <c r="F142" s="41">
        <f>7</f>
        <v>7</v>
      </c>
      <c r="G142" s="13" t="s">
        <v>110</v>
      </c>
      <c r="H142" s="44">
        <f>4153.4/F142</f>
        <v>593.34285714285704</v>
      </c>
      <c r="I142" s="66">
        <f>F142*H142</f>
        <v>4153.3999999999996</v>
      </c>
      <c r="J142" s="14" t="s">
        <v>118</v>
      </c>
      <c r="L142" s="2"/>
    </row>
    <row r="143" spans="1:12" ht="18.75" x14ac:dyDescent="0.3">
      <c r="A143" s="34"/>
      <c r="B143" s="14"/>
      <c r="C143" s="14"/>
      <c r="D143" s="40" t="s">
        <v>200</v>
      </c>
      <c r="E143" s="41"/>
      <c r="F143" s="41">
        <f>7</f>
        <v>7</v>
      </c>
      <c r="G143" s="13" t="s">
        <v>110</v>
      </c>
      <c r="H143" s="44">
        <f>13565/F143</f>
        <v>1937.8571428571429</v>
      </c>
      <c r="I143" s="66">
        <f>F143*H143</f>
        <v>13565</v>
      </c>
      <c r="J143" s="14" t="s">
        <v>118</v>
      </c>
      <c r="L143" s="2"/>
    </row>
    <row r="144" spans="1:12" ht="18.75" x14ac:dyDescent="0.3">
      <c r="A144" s="34"/>
      <c r="B144" s="14"/>
      <c r="C144" s="14"/>
      <c r="D144" s="40"/>
      <c r="E144" s="41"/>
      <c r="F144" s="41"/>
      <c r="G144" s="13"/>
      <c r="H144" s="41"/>
      <c r="I144" s="59">
        <f>SUM(I131:I143)</f>
        <v>668246.4</v>
      </c>
      <c r="J144" s="14"/>
      <c r="L144" s="2"/>
    </row>
    <row r="145" spans="1:12" ht="18.75" x14ac:dyDescent="0.3">
      <c r="A145" s="65" t="s">
        <v>183</v>
      </c>
      <c r="B145" s="14"/>
      <c r="C145" s="14"/>
      <c r="D145" s="43"/>
      <c r="E145" s="14"/>
      <c r="F145" s="14"/>
      <c r="G145" s="38"/>
      <c r="H145" s="14"/>
      <c r="I145" s="72">
        <f>I6+I7+I20+I21+I22+I23+I30+I31+I32+I33+I39+I40+I45+I46+I47+I49+I50+I51+I55+I58+I62+I67+I68+I69+I70+I71+I72+I73+I76+I84+I85+I86+I87+I88+I131+I133+I134+I135+I136+I137+I138+I139+I140+I141+I142+I143-0.2</f>
        <v>1251538.3999999999</v>
      </c>
      <c r="J145" s="14"/>
      <c r="L145" s="2"/>
    </row>
    <row r="146" spans="1:12" ht="15.75" x14ac:dyDescent="0.25">
      <c r="A146" s="54" t="s">
        <v>172</v>
      </c>
      <c r="B146" s="25"/>
      <c r="C146" s="25"/>
      <c r="D146" s="43"/>
      <c r="E146" s="13"/>
      <c r="F146" s="13"/>
      <c r="G146" s="38"/>
      <c r="H146" s="13"/>
      <c r="I146" s="55">
        <f>I15+I42+I59+I79+I93+I98+I107+I115+I119+I125+I129+I144</f>
        <v>1663126.82</v>
      </c>
      <c r="J146" s="14"/>
      <c r="K146" s="2"/>
      <c r="L146" s="2"/>
    </row>
    <row r="147" spans="1:12" ht="99.75" customHeight="1" x14ac:dyDescent="0.25">
      <c r="A147" s="74" t="s">
        <v>102</v>
      </c>
      <c r="B147" s="74"/>
      <c r="C147" s="74"/>
      <c r="D147" s="74"/>
      <c r="E147" s="74"/>
      <c r="F147" s="74"/>
      <c r="G147" s="74"/>
      <c r="H147" s="74"/>
      <c r="I147" s="74"/>
      <c r="J147" s="74"/>
      <c r="K147" s="2"/>
      <c r="L147" s="2"/>
    </row>
    <row r="148" spans="1:12" ht="15.75" x14ac:dyDescent="0.25">
      <c r="A148" s="2"/>
      <c r="B148" s="2"/>
      <c r="C148" s="2"/>
      <c r="D148" s="16"/>
      <c r="E148" s="2"/>
      <c r="F148" s="2"/>
      <c r="G148" s="2"/>
      <c r="H148" s="2"/>
      <c r="I148" s="2"/>
      <c r="J148" s="2"/>
      <c r="K148" s="2"/>
      <c r="L148" s="2"/>
    </row>
    <row r="149" spans="1:12" ht="15.75" x14ac:dyDescent="0.25">
      <c r="A149" s="2"/>
      <c r="B149" s="2"/>
      <c r="C149" s="2"/>
      <c r="D149" s="16"/>
      <c r="E149" s="2"/>
      <c r="F149" s="56"/>
      <c r="G149" s="2"/>
      <c r="H149" s="2"/>
      <c r="I149" s="56"/>
      <c r="J149" s="2"/>
      <c r="K149" s="2"/>
      <c r="L149" s="2"/>
    </row>
    <row r="150" spans="1:12" ht="15.75" x14ac:dyDescent="0.25">
      <c r="A150" s="2"/>
      <c r="B150" s="2"/>
      <c r="C150" s="2"/>
      <c r="D150" s="16"/>
      <c r="E150" s="2"/>
      <c r="F150" s="56"/>
      <c r="G150" s="2"/>
      <c r="H150" s="2"/>
      <c r="I150" s="2"/>
      <c r="J150" s="2"/>
      <c r="K150" s="2"/>
      <c r="L150" s="56"/>
    </row>
    <row r="151" spans="1:12" ht="15.75" x14ac:dyDescent="0.25">
      <c r="A151" s="2"/>
      <c r="B151" s="2"/>
      <c r="C151" s="2"/>
      <c r="D151" s="16"/>
      <c r="E151" s="2"/>
      <c r="F151" s="56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16"/>
      <c r="E152" s="16"/>
      <c r="F152" s="2"/>
      <c r="G152" s="2"/>
      <c r="H152" s="2"/>
      <c r="I152" s="73"/>
      <c r="J152" s="2"/>
      <c r="K152" s="2"/>
      <c r="L152" s="2"/>
    </row>
    <row r="153" spans="1:12" ht="15.75" x14ac:dyDescent="0.25">
      <c r="A153" s="2"/>
      <c r="B153" s="2"/>
      <c r="C153" s="2"/>
      <c r="D153" s="16"/>
      <c r="E153" s="16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16"/>
      <c r="E154" s="16"/>
      <c r="F154" s="2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16"/>
      <c r="E155" s="16"/>
      <c r="F155" s="2"/>
      <c r="G155" s="2"/>
      <c r="H155" s="2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16"/>
      <c r="E156" s="16"/>
      <c r="F156" s="2"/>
      <c r="G156" s="2"/>
      <c r="H156" s="2"/>
      <c r="I156" s="56"/>
      <c r="J156" s="2"/>
      <c r="K156" s="2"/>
      <c r="L156" s="2"/>
    </row>
    <row r="157" spans="1:12" ht="15.75" x14ac:dyDescent="0.25">
      <c r="A157" s="2"/>
      <c r="B157" s="2"/>
      <c r="C157" s="2"/>
      <c r="D157" s="16"/>
      <c r="E157" s="16"/>
      <c r="F157" s="2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</sheetData>
  <mergeCells count="16">
    <mergeCell ref="A147:J147"/>
    <mergeCell ref="A2:J2"/>
    <mergeCell ref="A130:G130"/>
    <mergeCell ref="H130:J130"/>
    <mergeCell ref="I1:J1"/>
    <mergeCell ref="A94:G94"/>
    <mergeCell ref="A108:G108"/>
    <mergeCell ref="A126:G126"/>
    <mergeCell ref="A43:G43"/>
    <mergeCell ref="A16:G16"/>
    <mergeCell ref="A4:G4"/>
    <mergeCell ref="A116:G116"/>
    <mergeCell ref="A60:G60"/>
    <mergeCell ref="A80:G80"/>
    <mergeCell ref="A99:G99"/>
    <mergeCell ref="A120:G120"/>
  </mergeCells>
  <pageMargins left="0.78740157480314965" right="0.70866141732283472" top="0" bottom="0.59055118110236227" header="0" footer="0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2025-01-30T11:52:13Z</cp:lastPrinted>
  <dcterms:created xsi:type="dcterms:W3CDTF">2017-05-29T12:14:13Z</dcterms:created>
  <dcterms:modified xsi:type="dcterms:W3CDTF">2025-03-14T04:52:42Z</dcterms:modified>
</cp:coreProperties>
</file>