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125" i="1" l="1"/>
  <c r="H125" i="1" s="1"/>
  <c r="F138" i="1"/>
  <c r="H138" i="1" s="1"/>
  <c r="F192" i="1"/>
  <c r="H192" i="1" s="1"/>
  <c r="F194" i="1"/>
  <c r="H194" i="1" s="1"/>
  <c r="F88" i="1"/>
  <c r="F63" i="1"/>
  <c r="H63" i="1" s="1"/>
  <c r="F62" i="1"/>
  <c r="H62" i="1" s="1"/>
  <c r="F71" i="1"/>
  <c r="H71" i="1" s="1"/>
  <c r="F72" i="1"/>
  <c r="F74" i="1"/>
  <c r="H74" i="1" s="1"/>
  <c r="F54" i="1"/>
  <c r="H54" i="1" s="1"/>
  <c r="F53" i="1"/>
  <c r="H53" i="1" s="1"/>
  <c r="F60" i="1"/>
  <c r="H60" i="1" s="1"/>
  <c r="F55" i="1"/>
  <c r="H55" i="1" s="1"/>
  <c r="F57" i="1"/>
  <c r="H57" i="1" s="1"/>
  <c r="F59" i="1"/>
  <c r="H59" i="1" s="1"/>
  <c r="F78" i="1"/>
  <c r="H78" i="1" s="1"/>
  <c r="F148" i="1"/>
  <c r="H148" i="1" s="1"/>
  <c r="F142" i="1"/>
  <c r="H142" i="1" s="1"/>
  <c r="F126" i="1"/>
  <c r="H126" i="1" s="1"/>
  <c r="F134" i="1"/>
  <c r="H134" i="1" s="1"/>
  <c r="F131" i="1"/>
  <c r="H131" i="1" s="1"/>
  <c r="F175" i="1"/>
  <c r="H175" i="1" s="1"/>
  <c r="F173" i="1"/>
  <c r="H173" i="1" s="1"/>
  <c r="F155" i="1"/>
  <c r="H155" i="1" s="1"/>
  <c r="F161" i="1"/>
  <c r="H161" i="1" s="1"/>
  <c r="F159" i="1"/>
  <c r="H159" i="1" s="1"/>
  <c r="F93" i="1"/>
  <c r="H93" i="1" s="1"/>
  <c r="I55" i="1" l="1"/>
  <c r="I54" i="1"/>
  <c r="H72" i="1"/>
  <c r="I72" i="1" s="1"/>
  <c r="I62" i="1"/>
  <c r="H88" i="1"/>
  <c r="I88" i="1" s="1"/>
  <c r="I57" i="1"/>
  <c r="I53" i="1"/>
  <c r="I74" i="1"/>
  <c r="I71" i="1"/>
  <c r="I63" i="1"/>
  <c r="I125" i="1"/>
  <c r="I138" i="1"/>
  <c r="F42" i="1"/>
  <c r="H42" i="1" s="1"/>
  <c r="F112" i="1"/>
  <c r="H112" i="1" s="1"/>
  <c r="F113" i="1"/>
  <c r="H113" i="1" s="1"/>
  <c r="F107" i="1"/>
  <c r="H107" i="1" s="1"/>
  <c r="F130" i="1"/>
  <c r="H130" i="1" s="1"/>
  <c r="F76" i="1" l="1"/>
  <c r="H76" i="1" s="1"/>
  <c r="F157" i="1"/>
  <c r="H135" i="1"/>
  <c r="F111" i="1"/>
  <c r="H111" i="1" s="1"/>
  <c r="F116" i="1"/>
  <c r="H116" i="1" s="1"/>
  <c r="F97" i="1"/>
  <c r="H97" i="1" s="1"/>
  <c r="F102" i="1"/>
  <c r="H102" i="1" s="1"/>
  <c r="F178" i="1"/>
  <c r="H178" i="1" s="1"/>
  <c r="I76" i="1" l="1"/>
  <c r="H157" i="1"/>
  <c r="I157" i="1" s="1"/>
  <c r="I97" i="1"/>
  <c r="F128" i="1"/>
  <c r="H128" i="1" s="1"/>
  <c r="I42" i="1" l="1"/>
  <c r="H41" i="1"/>
  <c r="I41" i="1" s="1"/>
  <c r="F40" i="1"/>
  <c r="H40" i="1" s="1"/>
  <c r="H39" i="1"/>
  <c r="I39" i="1" s="1"/>
  <c r="F38" i="1"/>
  <c r="F33" i="1"/>
  <c r="H33" i="1" s="1"/>
  <c r="F32" i="1"/>
  <c r="H32" i="1" s="1"/>
  <c r="H37" i="1"/>
  <c r="I37" i="1" s="1"/>
  <c r="F36" i="1"/>
  <c r="H36" i="1" s="1"/>
  <c r="H35" i="1"/>
  <c r="I35" i="1" s="1"/>
  <c r="H38" i="1" l="1"/>
  <c r="I38" i="1" s="1"/>
  <c r="I36" i="1"/>
  <c r="I32" i="1"/>
  <c r="I40" i="1"/>
  <c r="I34" i="1"/>
  <c r="I33" i="1"/>
  <c r="H31" i="1"/>
  <c r="I31" i="1" s="1"/>
  <c r="F27" i="1" l="1"/>
  <c r="H27" i="1" s="1"/>
  <c r="I27" i="1" s="1"/>
  <c r="H28" i="1"/>
  <c r="I28" i="1" s="1"/>
  <c r="F30" i="1"/>
  <c r="H30" i="1" s="1"/>
  <c r="H29" i="1"/>
  <c r="I29" i="1" s="1"/>
  <c r="I30" i="1" l="1"/>
  <c r="H129" i="1"/>
  <c r="I129" i="1" s="1"/>
  <c r="H26" i="1" l="1"/>
  <c r="I26" i="1" s="1"/>
  <c r="H6" i="1"/>
  <c r="I6" i="1" s="1"/>
  <c r="F158" i="1"/>
  <c r="H158" i="1" s="1"/>
  <c r="H198" i="1" l="1"/>
  <c r="H25" i="1"/>
  <c r="I25" i="1" s="1"/>
  <c r="F64" i="1"/>
  <c r="H64" i="1" s="1"/>
  <c r="F127" i="1"/>
  <c r="H127" i="1" s="1"/>
  <c r="F103" i="1"/>
  <c r="H103" i="1" s="1"/>
  <c r="F197" i="1"/>
  <c r="H197" i="1" s="1"/>
  <c r="F110" i="1"/>
  <c r="H110" i="1" s="1"/>
  <c r="F5" i="1"/>
  <c r="H5" i="1" s="1"/>
  <c r="F18" i="1"/>
  <c r="H18" i="1" s="1"/>
  <c r="F19" i="1"/>
  <c r="H19" i="1" s="1"/>
  <c r="F140" i="1"/>
  <c r="H140" i="1" s="1"/>
  <c r="F118" i="1"/>
  <c r="F109" i="1"/>
  <c r="H109" i="1" s="1"/>
  <c r="F108" i="1"/>
  <c r="H108" i="1" s="1"/>
  <c r="H149" i="1"/>
  <c r="I149" i="1" s="1"/>
  <c r="F100" i="1"/>
  <c r="H100" i="1" s="1"/>
  <c r="F98" i="1"/>
  <c r="H98" i="1" s="1"/>
  <c r="F96" i="1"/>
  <c r="H96" i="1" s="1"/>
  <c r="F95" i="1"/>
  <c r="F94" i="1"/>
  <c r="F92" i="1"/>
  <c r="H92" i="1" s="1"/>
  <c r="F91" i="1"/>
  <c r="H91" i="1" s="1"/>
  <c r="F195" i="1"/>
  <c r="F24" i="1"/>
  <c r="H24" i="1" s="1"/>
  <c r="I158" i="1"/>
  <c r="F119" i="1"/>
  <c r="F61" i="1"/>
  <c r="F56" i="1"/>
  <c r="H56" i="1" s="1"/>
  <c r="H95" i="1" l="1"/>
  <c r="I95" i="1" s="1"/>
  <c r="I56" i="1"/>
  <c r="H119" i="1"/>
  <c r="I119" i="1" s="1"/>
  <c r="I140" i="1"/>
  <c r="I18" i="1"/>
  <c r="I5" i="1"/>
  <c r="H61" i="1"/>
  <c r="I61" i="1" s="1"/>
  <c r="H195" i="1"/>
  <c r="I195" i="1" s="1"/>
  <c r="H94" i="1"/>
  <c r="I94" i="1" s="1"/>
  <c r="H118" i="1"/>
  <c r="I118" i="1" s="1"/>
  <c r="I110" i="1"/>
  <c r="F66" i="1"/>
  <c r="H66" i="1" s="1"/>
  <c r="F81" i="1"/>
  <c r="H81" i="1" s="1"/>
  <c r="F193" i="1"/>
  <c r="H193" i="1" s="1"/>
  <c r="F156" i="1"/>
  <c r="H156" i="1" s="1"/>
  <c r="H151" i="1"/>
  <c r="I126" i="1"/>
  <c r="H106" i="1"/>
  <c r="I106" i="1" s="1"/>
  <c r="H105" i="1"/>
  <c r="I105" i="1" s="1"/>
  <c r="F104" i="1"/>
  <c r="H104" i="1" s="1"/>
  <c r="I104" i="1" l="1"/>
  <c r="F58" i="1"/>
  <c r="H58" i="1" s="1"/>
  <c r="F139" i="1"/>
  <c r="H139" i="1" l="1"/>
  <c r="I139" i="1" s="1"/>
  <c r="I58" i="1"/>
  <c r="I60" i="1"/>
  <c r="F144" i="1"/>
  <c r="I127" i="1"/>
  <c r="I151" i="1"/>
  <c r="I197" i="1"/>
  <c r="F67" i="1"/>
  <c r="I131" i="1"/>
  <c r="I84" i="1"/>
  <c r="I142" i="1" l="1"/>
  <c r="I111" i="1"/>
  <c r="I144" i="1"/>
  <c r="I81" i="1"/>
  <c r="I66" i="1"/>
  <c r="I148" i="1"/>
  <c r="F122" i="1"/>
  <c r="H122" i="1" s="1"/>
  <c r="I153" i="1" l="1"/>
  <c r="I19" i="1" l="1"/>
  <c r="I198" i="1" l="1"/>
  <c r="I109" i="1"/>
  <c r="I64" i="1" l="1"/>
  <c r="F196" i="1"/>
  <c r="H196" i="1" s="1"/>
  <c r="F99" i="1"/>
  <c r="H99" i="1" s="1"/>
  <c r="I24" i="1" l="1"/>
  <c r="I113" i="1"/>
  <c r="I107" i="1"/>
  <c r="F191" i="1"/>
  <c r="I191" i="1" s="1"/>
  <c r="I159" i="1"/>
  <c r="I130" i="1"/>
  <c r="I112" i="1"/>
  <c r="F115" i="1"/>
  <c r="I115" i="1" s="1"/>
  <c r="F90" i="1"/>
  <c r="H90" i="1" s="1"/>
  <c r="I192" i="1"/>
  <c r="I50" i="1" l="1"/>
  <c r="I78" i="1"/>
  <c r="I193" i="1"/>
  <c r="I194" i="1"/>
  <c r="I59" i="1" l="1"/>
  <c r="I83" i="1"/>
  <c r="I128" i="1"/>
  <c r="I67" i="1" l="1"/>
  <c r="I85" i="1" s="1"/>
  <c r="I196" i="1"/>
  <c r="I116" i="1"/>
  <c r="I178" i="1"/>
  <c r="I160" i="1"/>
  <c r="I155" i="1"/>
  <c r="I90" i="1"/>
  <c r="I99" i="1"/>
  <c r="I98" i="1"/>
  <c r="I96" i="1"/>
  <c r="I93" i="1"/>
  <c r="I92" i="1"/>
  <c r="I91" i="1"/>
  <c r="I102" i="1"/>
  <c r="I162" i="1"/>
  <c r="I100" i="1"/>
  <c r="I199" i="1" l="1"/>
  <c r="I103" i="1"/>
  <c r="I134" i="1"/>
  <c r="I135" i="1"/>
  <c r="I136" i="1" l="1"/>
  <c r="I156" i="1"/>
  <c r="I122" i="1" l="1"/>
  <c r="I175" i="1"/>
  <c r="I161" i="1"/>
  <c r="I164" i="1" s="1"/>
  <c r="I108" i="1" l="1"/>
  <c r="I200" i="1" s="1"/>
  <c r="I123" i="1" l="1"/>
  <c r="I173" i="1"/>
  <c r="I176" i="1" s="1"/>
  <c r="I182" i="1" l="1"/>
  <c r="I186" i="1" s="1"/>
  <c r="I179" i="1"/>
  <c r="I180" i="1" s="1"/>
  <c r="I201" i="1" l="1"/>
</calcChain>
</file>

<file path=xl/sharedStrings.xml><?xml version="1.0" encoding="utf-8"?>
<sst xmlns="http://schemas.openxmlformats.org/spreadsheetml/2006/main" count="678" uniqueCount="267">
  <si>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</si>
  <si>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</si>
  <si>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</si>
  <si>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</si>
  <si>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</si>
  <si>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</si>
  <si>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</si>
  <si>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</si>
  <si>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</si>
  <si>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</si>
  <si>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</si>
  <si>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</si>
  <si>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</si>
  <si>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</si>
  <si>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</si>
  <si>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</si>
  <si>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</si>
  <si>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</si>
  <si>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</si>
  <si>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</si>
  <si>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</si>
  <si>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</si>
  <si>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</si>
  <si>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</si>
  <si>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</si>
  <si>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</si>
  <si>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</si>
  <si>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</si>
  <si>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</si>
  <si>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</si>
  <si>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</si>
  <si>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</si>
  <si>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</si>
  <si>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</si>
  <si>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</si>
  <si>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</si>
  <si>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</si>
  <si>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</si>
  <si>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</si>
  <si>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</si>
  <si>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</si>
  <si>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</si>
  <si>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</si>
  <si>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</si>
  <si>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</si>
  <si>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</si>
  <si>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</si>
  <si>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</si>
  <si>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</si>
  <si>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</si>
  <si>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</si>
  <si>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</si>
  <si>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</si>
  <si>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</si>
  <si>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</si>
  <si>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</si>
  <si>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</si>
  <si>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</si>
  <si>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</si>
  <si>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</si>
  <si>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</si>
  <si>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</si>
  <si>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</si>
  <si>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</si>
  <si>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</si>
  <si>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</si>
  <si>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</si>
  <si>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</si>
  <si>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</si>
  <si>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</si>
  <si>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</si>
  <si>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</si>
  <si>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</si>
  <si>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</si>
  <si>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</si>
  <si>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</si>
  <si>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</si>
  <si>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</si>
  <si>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</si>
  <si>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</si>
  <si>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</si>
  <si>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</si>
  <si>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</si>
  <si>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</si>
  <si>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</si>
  <si>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</si>
  <si>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</si>
  <si>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</si>
  <si>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</si>
  <si>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</si>
  <si>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</si>
  <si>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</si>
  <si>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</si>
  <si>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</si>
  <si>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</si>
  <si>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</si>
  <si>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</si>
  <si>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</si>
  <si>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</si>
  <si>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</si>
  <si>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</si>
  <si>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</si>
  <si>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</si>
  <si>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</si>
  <si>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</si>
  <si>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</si>
  <si>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</si>
  <si>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</si>
  <si>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</si>
  <si>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</si>
  <si>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</si>
  <si>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</si>
  <si>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</si>
  <si>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</si>
  <si>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</si>
  <si>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</si>
  <si>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</si>
  <si>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</si>
  <si>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</si>
  <si>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</si>
  <si>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</si>
  <si>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</si>
  <si>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</si>
  <si>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</si>
  <si>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</si>
  <si>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</si>
  <si>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</si>
  <si>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</si>
  <si>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</si>
  <si>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</si>
  <si>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</si>
  <si>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</si>
  <si>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</si>
  <si>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</si>
  <si>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</si>
  <si>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</si>
  <si>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</si>
  <si>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</si>
  <si>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</si>
  <si>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</si>
  <si>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</si>
  <si>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</si>
  <si>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</si>
  <si>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</si>
  <si>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</si>
  <si>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</si>
  <si>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</si>
  <si>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</si>
  <si>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</si>
  <si>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</si>
  <si>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</si>
  <si>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</si>
  <si>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</si>
  <si>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</si>
  <si>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</si>
  <si>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</si>
  <si>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</si>
  <si>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</si>
  <si>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</si>
  <si>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</si>
  <si>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</si>
  <si>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</si>
  <si>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</si>
  <si>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</si>
  <si>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</si>
  <si>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</si>
  <si>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</si>
  <si>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</si>
  <si>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</si>
  <si>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</si>
  <si>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</si>
  <si>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</si>
  <si>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</si>
  <si>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</si>
  <si>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</si>
  <si>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</si>
  <si>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</si>
  <si>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</si>
  <si>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</si>
  <si>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водоотлив из подвала ведрами</t>
  </si>
  <si>
    <t>водоотлив из подвала электрическим насосом</t>
  </si>
  <si>
    <t>смена внутренних трубопроводов с заготовкой труб в построечных условиях диам.  20мм</t>
  </si>
  <si>
    <t>смена внутренних трубопроводов из стальных труб диам. 25мм</t>
  </si>
  <si>
    <t>установка  фильтров диам20мм</t>
  </si>
  <si>
    <t>смена выключателей</t>
  </si>
  <si>
    <t>установка грязевиков наружным диам. патрубков до 108мм после прочистки</t>
  </si>
  <si>
    <t>ремонт и окраска дверей (восстановление фурнитуры и остекления)ушки</t>
  </si>
  <si>
    <t>смена внутренних трубопроводов из стальных труб диам. 15мм</t>
  </si>
  <si>
    <t>смена задвижек диам. 80мм на шаровые краны</t>
  </si>
  <si>
    <t>укладка металлического накладного профиля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</si>
  <si>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</si>
  <si>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</si>
  <si>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приборов:пружины</t>
  </si>
  <si>
    <t>смена дверных приборов:петли</t>
  </si>
  <si>
    <t>смена сгонов у трубопроводов диам. 20мм</t>
  </si>
  <si>
    <t>установка регистров из стальных сварных труб диам. нитки 80мм</t>
  </si>
  <si>
    <t>смена трубопроводов из чугунных канализационных труб диам. 100мм</t>
  </si>
  <si>
    <t>улучшенная масляная окраска ранее окрашенных дверей за 2 раза с расчисткой старой краски до 10%</t>
  </si>
  <si>
    <t>окраска водно-дисперсионными акриловыми составами улучшенная по штукатурке стен и откосов</t>
  </si>
  <si>
    <t>окраска масляными составами ранее окрашенных металлических решеток и оград без рельефа за 2 раза</t>
  </si>
  <si>
    <t>демонтаж почтовых ящиков</t>
  </si>
  <si>
    <t>короба пластмассовые шириной до 40мм</t>
  </si>
  <si>
    <t>улучшенная масляная окраска ранее окрашенных окон за 2 раза с расчисткой старой краски до 10%</t>
  </si>
  <si>
    <t>окраска масляными составами ранее окрашенных металлических поверхностей радиаторов стальных за 2 раза</t>
  </si>
  <si>
    <t>установка дверного доводчика</t>
  </si>
  <si>
    <t>ремонт дверного доводчика</t>
  </si>
  <si>
    <t>смена стекол</t>
  </si>
  <si>
    <t>установка розеток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</si>
  <si>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</si>
  <si>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</si>
  <si>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</si>
  <si>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воздушных</t>
  </si>
  <si>
    <t xml:space="preserve"> 1 квартал</t>
  </si>
  <si>
    <t>ремонт бетонных ступеней</t>
  </si>
  <si>
    <t>1,2  квартал</t>
  </si>
  <si>
    <t>очистка внутреннней поверхности теплообменного аппарата</t>
  </si>
  <si>
    <t>гидравлическое испытание аппарата или сосуда, работающего под давлением</t>
  </si>
  <si>
    <t>ремонт и окраска окон (восстановление фурнитуры и остекления)ручки оконные</t>
  </si>
  <si>
    <t>смена дверных приборов замки накладные</t>
  </si>
  <si>
    <t xml:space="preserve"> смена вентилей на шаровые краны диам.20мм</t>
  </si>
  <si>
    <t>мест</t>
  </si>
  <si>
    <t>лифт</t>
  </si>
  <si>
    <t xml:space="preserve"> смена кранов на шаровые краны диам.15мм</t>
  </si>
  <si>
    <t xml:space="preserve"> 4 квартал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</si>
  <si>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25  на 2024 г.
</t>
  </si>
  <si>
    <t>разборка трубопроводов из водогазопроводных труб в зданиях и сооружениях на резьбе диаметром до 32 мм</t>
  </si>
  <si>
    <t>сборка узла трубопровода водоснабжения и отопления из многослойного полипропилена, армированного стекловолокном, раструбная сварка, наружный диаметр: 20 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</si>
  <si>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</t>
  </si>
  <si>
    <t>заделка выбоин в полах площадью до 0,5м2</t>
  </si>
  <si>
    <t>смена филенок в дверных полотнах:фанерных</t>
  </si>
  <si>
    <t>зачеканка раструбов цементным раствором</t>
  </si>
  <si>
    <t>окраска масляными составами ранее окрашенных металлических решеток и оград без рельефа за 1 раз</t>
  </si>
  <si>
    <t>изготовление и установка сопла диам. трубопроводов до 100мм</t>
  </si>
  <si>
    <t>ремонт мягой кровли в подъездах жилого дома 4,5 подъезд</t>
  </si>
  <si>
    <t>ремонт г/п лифта подъезда №4,2,ремонт быстроходного и тихоходного валов</t>
  </si>
  <si>
    <t>смена внутренних трубопроводов из стальных труб диам. 65мм</t>
  </si>
  <si>
    <t>разборка кирпичных стен с вывозом мусора контейнерами</t>
  </si>
  <si>
    <t>устройство бетонных плитных тротуаров с заполнением швов цементным раствором(спуск на улицу Фрунзе)</t>
  </si>
  <si>
    <t xml:space="preserve">смена обделок из листовой стали </t>
  </si>
  <si>
    <t>ремонт ступеней :бетонных с обрамлением угловой сталью</t>
  </si>
  <si>
    <t xml:space="preserve"> смена вентилей на шаровые краны диам.20,32мм</t>
  </si>
  <si>
    <t>устройство стен и перегородок бетонных высотой до 6м</t>
  </si>
  <si>
    <t>армирование постилающих слоев и набетонок</t>
  </si>
  <si>
    <t>ремонт лицевой поверхности наружных кирпичных стен при глубине заделки в 1 кирпич</t>
  </si>
  <si>
    <t>армирование кладки стен и других конструкций</t>
  </si>
  <si>
    <t>устройство основания под штукатурку из металлической сетки по кирпичным и бетонным поверхностям</t>
  </si>
  <si>
    <t>ремонт штукатурки фасадов сухой растворной смесью (типа «Ветонит»)</t>
  </si>
  <si>
    <t>огрунтовка ранее окрашенных фасадов под окраску перхлорвиниловыми красками простых с земли и лесов</t>
  </si>
  <si>
    <t>сверление установками алмазного бурения в железобетонных конструкциях горизонтальных отверстий глубиной 200 мм диаметром 20 мм</t>
  </si>
  <si>
    <t>установка анкерных болтов в готовые гнезда с заделкой длиной до 1 м</t>
  </si>
  <si>
    <t>установка закладных деталей весом до 4 кг</t>
  </si>
  <si>
    <t>отв</t>
  </si>
  <si>
    <t>сборка с помощью лебедок ручных (с установкой и снятием их в процессе работы) или вручную (мелких деталей) стремянки, связи, кронштейны, тормозные конструкции и пр.</t>
  </si>
  <si>
    <t>установка стальных сварных перил на пандусе</t>
  </si>
  <si>
    <t>окраска фасадов акриловыми составами с лесов вручную с подготовкой поверхности</t>
  </si>
  <si>
    <t>устройство стяжек бетонных толщиной  более 20мм</t>
  </si>
  <si>
    <t>облицовка наружных стен бетонными камнями при числе камней в 1 м2 до 9 шт</t>
  </si>
  <si>
    <t>установка фильтров диам.50мм</t>
  </si>
  <si>
    <t>смена трубопроводов из полиэтиленовых канализацилнных труб диаметром до 100мм</t>
  </si>
  <si>
    <t>устройство покрытий из керамогранитных плиток размером 30х30см</t>
  </si>
  <si>
    <t>смена вентилей и клапанов обратных муфтовых диам. до 20мм</t>
  </si>
  <si>
    <t>смена дверных приборов:шпингалеты</t>
  </si>
  <si>
    <t>установка рейки добора</t>
  </si>
  <si>
    <t>установка  раскладок из дерева:хвойных пород по дереву(без окраски)</t>
  </si>
  <si>
    <t>смена керамогранитных плит до 6шт.</t>
  </si>
  <si>
    <t>покрытие поверхностей грунтовкой глубокого проникновения за 1 раз стен</t>
  </si>
  <si>
    <t>окраска масляными составами ранее окрашенных поверхностей(кроме крыш) за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</si>
</sst>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8"/>
  <sheetViews>
    <sheetView tabSelected="1" topLeftCell="D201" zoomScale="91" zoomScaleNormal="91" workbookViewId="0">
      <selection activeCell="E203" sqref="E203:I20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3.7109375" style="1" customWidth="1"/>
    <col min="13" max="16384" width="8.85546875" style="1"/>
  </cols>
  <sheetData>
    <row r="1" spans="1:12" ht="51.75" customHeight="1" x14ac:dyDescent="0.25">
      <c r="I1" s="79" t="s">
        <v>96</v>
      </c>
      <c r="J1" s="79"/>
    </row>
    <row r="2" spans="1:12" ht="70.5" customHeight="1" x14ac:dyDescent="0.25">
      <c r="A2" s="74" t="s">
        <v>224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</row>
    <row r="3" spans="1:12" ht="75" x14ac:dyDescent="0.25">
      <c r="A3" s="20" t="s">
        <v>82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81</v>
      </c>
      <c r="H3" s="21" t="s">
        <v>80</v>
      </c>
      <c r="I3" s="21" t="s">
        <v>100</v>
      </c>
      <c r="J3" s="21" t="s">
        <v>102</v>
      </c>
      <c r="K3" s="2"/>
      <c r="L3" s="2"/>
    </row>
    <row r="4" spans="1:12" ht="18.75" x14ac:dyDescent="0.3">
      <c r="A4" s="80" t="s">
        <v>88</v>
      </c>
      <c r="B4" s="81"/>
      <c r="C4" s="81"/>
      <c r="D4" s="81"/>
      <c r="E4" s="81"/>
      <c r="F4" s="81"/>
      <c r="G4" s="8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233</v>
      </c>
      <c r="E5" s="42" t="s">
        <v>137</v>
      </c>
      <c r="F5" s="42">
        <f>1</f>
        <v>1</v>
      </c>
      <c r="G5" s="13" t="s">
        <v>142</v>
      </c>
      <c r="H5" s="42">
        <f>123625/F5</f>
        <v>123625</v>
      </c>
      <c r="I5" s="70">
        <f>F5*H5</f>
        <v>123625</v>
      </c>
      <c r="J5" s="13" t="s">
        <v>119</v>
      </c>
      <c r="K5" s="2"/>
      <c r="L5" s="60"/>
    </row>
    <row r="6" spans="1:12" ht="18.75" x14ac:dyDescent="0.3">
      <c r="A6" s="6"/>
      <c r="B6" s="5"/>
      <c r="C6" s="4"/>
      <c r="D6" s="15" t="s">
        <v>238</v>
      </c>
      <c r="E6" s="42" t="s">
        <v>137</v>
      </c>
      <c r="F6" s="42">
        <v>8</v>
      </c>
      <c r="G6" s="13" t="s">
        <v>145</v>
      </c>
      <c r="H6" s="42">
        <f>5945.8/F6</f>
        <v>743.22500000000002</v>
      </c>
      <c r="I6" s="55">
        <f>F6*H6</f>
        <v>5945.8</v>
      </c>
      <c r="J6" s="13" t="s">
        <v>119</v>
      </c>
      <c r="K6" s="2"/>
      <c r="L6" s="60"/>
    </row>
    <row r="7" spans="1:12" ht="35.25" customHeight="1" x14ac:dyDescent="0.3">
      <c r="A7" s="6" t="s">
        <v>1</v>
      </c>
      <c r="B7" s="5"/>
      <c r="C7" s="4"/>
      <c r="D7" s="15" t="s">
        <v>152</v>
      </c>
      <c r="E7" s="42" t="s">
        <v>137</v>
      </c>
      <c r="F7" s="42" t="s">
        <v>137</v>
      </c>
      <c r="G7" s="13" t="s">
        <v>30</v>
      </c>
      <c r="H7" s="42" t="s">
        <v>137</v>
      </c>
      <c r="I7" s="42" t="s">
        <v>137</v>
      </c>
      <c r="J7" s="13"/>
      <c r="K7" s="2"/>
      <c r="L7" s="60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137</v>
      </c>
      <c r="F8" s="42" t="s">
        <v>137</v>
      </c>
      <c r="G8" s="13" t="s">
        <v>30</v>
      </c>
      <c r="H8" s="42" t="s">
        <v>137</v>
      </c>
      <c r="I8" s="42" t="s">
        <v>137</v>
      </c>
      <c r="J8" s="13"/>
      <c r="K8" s="2"/>
      <c r="L8" s="60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137</v>
      </c>
      <c r="F9" s="42" t="s">
        <v>137</v>
      </c>
      <c r="G9" s="13" t="s">
        <v>30</v>
      </c>
      <c r="H9" s="42" t="s">
        <v>137</v>
      </c>
      <c r="I9" s="42" t="s">
        <v>137</v>
      </c>
      <c r="J9" s="13"/>
      <c r="K9" s="2"/>
      <c r="L9" s="60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137</v>
      </c>
      <c r="F10" s="42" t="s">
        <v>137</v>
      </c>
      <c r="G10" s="13" t="s">
        <v>30</v>
      </c>
      <c r="H10" s="42" t="s">
        <v>137</v>
      </c>
      <c r="I10" s="42" t="s">
        <v>137</v>
      </c>
      <c r="J10" s="13"/>
      <c r="K10" s="2"/>
      <c r="L10" s="60"/>
    </row>
    <row r="11" spans="1:12" ht="18.75" x14ac:dyDescent="0.3">
      <c r="A11" s="6" t="s">
        <v>5</v>
      </c>
      <c r="B11" s="5"/>
      <c r="C11" s="4"/>
      <c r="D11" s="4" t="s">
        <v>87</v>
      </c>
      <c r="E11" s="42" t="s">
        <v>137</v>
      </c>
      <c r="F11" s="42" t="s">
        <v>137</v>
      </c>
      <c r="G11" s="13" t="s">
        <v>31</v>
      </c>
      <c r="H11" s="42" t="s">
        <v>137</v>
      </c>
      <c r="I11" s="42" t="s">
        <v>137</v>
      </c>
      <c r="J11" s="13"/>
      <c r="K11" s="2"/>
      <c r="L11" s="60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137</v>
      </c>
      <c r="F12" s="42" t="s">
        <v>137</v>
      </c>
      <c r="G12" s="14" t="s">
        <v>31</v>
      </c>
      <c r="H12" s="42" t="s">
        <v>137</v>
      </c>
      <c r="I12" s="42" t="s">
        <v>137</v>
      </c>
      <c r="J12" s="13"/>
      <c r="K12" s="2"/>
      <c r="L12" s="60"/>
    </row>
    <row r="13" spans="1:12" ht="32.25" x14ac:dyDescent="0.3">
      <c r="A13" s="6" t="s">
        <v>63</v>
      </c>
      <c r="B13" s="5"/>
      <c r="C13" s="4"/>
      <c r="D13" s="15" t="s">
        <v>52</v>
      </c>
      <c r="E13" s="42" t="s">
        <v>137</v>
      </c>
      <c r="F13" s="42" t="s">
        <v>137</v>
      </c>
      <c r="G13" s="13" t="s">
        <v>30</v>
      </c>
      <c r="H13" s="42" t="s">
        <v>137</v>
      </c>
      <c r="I13" s="42" t="s">
        <v>137</v>
      </c>
      <c r="J13" s="13"/>
      <c r="L13" s="60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137</v>
      </c>
      <c r="F14" s="42" t="s">
        <v>137</v>
      </c>
      <c r="G14" s="13" t="s">
        <v>30</v>
      </c>
      <c r="H14" s="42" t="s">
        <v>137</v>
      </c>
      <c r="I14" s="42" t="s">
        <v>137</v>
      </c>
      <c r="J14" s="13"/>
      <c r="K14" s="2"/>
      <c r="L14" s="60"/>
    </row>
    <row r="15" spans="1:12" ht="18.75" x14ac:dyDescent="0.3">
      <c r="A15" s="80" t="s">
        <v>56</v>
      </c>
      <c r="B15" s="81"/>
      <c r="C15" s="81"/>
      <c r="D15" s="81"/>
      <c r="E15" s="81"/>
      <c r="F15" s="81"/>
      <c r="G15" s="82"/>
      <c r="H15" s="14"/>
      <c r="I15" s="5"/>
      <c r="J15" s="13"/>
      <c r="L15" s="60"/>
    </row>
    <row r="16" spans="1:12" ht="18.75" x14ac:dyDescent="0.3">
      <c r="A16" s="6" t="s">
        <v>19</v>
      </c>
      <c r="B16" s="5"/>
      <c r="C16" s="4"/>
      <c r="D16" s="4" t="s">
        <v>95</v>
      </c>
      <c r="E16" s="42" t="s">
        <v>137</v>
      </c>
      <c r="F16" s="42" t="s">
        <v>137</v>
      </c>
      <c r="G16" s="14" t="s">
        <v>54</v>
      </c>
      <c r="H16" s="42" t="s">
        <v>137</v>
      </c>
      <c r="I16" s="42" t="s">
        <v>137</v>
      </c>
      <c r="J16" s="13"/>
      <c r="L16" s="60"/>
    </row>
    <row r="17" spans="1:12" ht="18.75" x14ac:dyDescent="0.3">
      <c r="A17" s="6" t="s">
        <v>13</v>
      </c>
      <c r="B17" s="5"/>
      <c r="C17" s="4"/>
      <c r="D17" s="4" t="s">
        <v>41</v>
      </c>
      <c r="E17" s="42" t="s">
        <v>137</v>
      </c>
      <c r="F17" s="42" t="s">
        <v>137</v>
      </c>
      <c r="G17" s="14" t="s">
        <v>53</v>
      </c>
      <c r="H17" s="42" t="s">
        <v>137</v>
      </c>
      <c r="I17" s="42" t="s">
        <v>137</v>
      </c>
      <c r="J17" s="13"/>
      <c r="L17" s="60"/>
    </row>
    <row r="18" spans="1:12" ht="18.75" x14ac:dyDescent="0.3">
      <c r="A18" s="6" t="s">
        <v>9</v>
      </c>
      <c r="B18" s="5"/>
      <c r="C18" s="4"/>
      <c r="D18" s="4" t="s">
        <v>35</v>
      </c>
      <c r="E18" s="42" t="s">
        <v>137</v>
      </c>
      <c r="F18" s="42">
        <f>376.4</f>
        <v>376.4</v>
      </c>
      <c r="G18" s="14" t="s">
        <v>53</v>
      </c>
      <c r="H18" s="45">
        <f>134401.2/F18</f>
        <v>357.07013815090335</v>
      </c>
      <c r="I18" s="70">
        <f>F18*H18</f>
        <v>134401.20000000001</v>
      </c>
      <c r="J18" s="13" t="s">
        <v>117</v>
      </c>
      <c r="K18" s="2"/>
      <c r="L18" s="60"/>
    </row>
    <row r="19" spans="1:12" ht="32.25" x14ac:dyDescent="0.3">
      <c r="A19" s="6"/>
      <c r="B19" s="5"/>
      <c r="C19" s="4"/>
      <c r="D19" s="15" t="s">
        <v>163</v>
      </c>
      <c r="E19" s="42" t="s">
        <v>137</v>
      </c>
      <c r="F19" s="42">
        <f>3+1.2</f>
        <v>4.2</v>
      </c>
      <c r="G19" s="14" t="s">
        <v>90</v>
      </c>
      <c r="H19" s="45">
        <f>(6250.4+1324.8)/F19</f>
        <v>1803.6190476190475</v>
      </c>
      <c r="I19" s="55">
        <f>F19*H19</f>
        <v>7575.2</v>
      </c>
      <c r="J19" s="13" t="s">
        <v>117</v>
      </c>
      <c r="K19" s="2"/>
      <c r="L19" s="60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137</v>
      </c>
      <c r="F20" s="42" t="s">
        <v>137</v>
      </c>
      <c r="G20" s="14" t="s">
        <v>53</v>
      </c>
      <c r="H20" s="42"/>
      <c r="I20" s="42" t="s">
        <v>137</v>
      </c>
      <c r="J20" s="13"/>
      <c r="K20" s="2"/>
      <c r="L20" s="60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137</v>
      </c>
      <c r="F21" s="42" t="s">
        <v>137</v>
      </c>
      <c r="G21" s="14" t="s">
        <v>53</v>
      </c>
      <c r="H21" s="42"/>
      <c r="I21" s="42" t="s">
        <v>137</v>
      </c>
      <c r="J21" s="13"/>
      <c r="K21" s="2"/>
      <c r="L21" s="60"/>
    </row>
    <row r="22" spans="1:12" ht="18.75" x14ac:dyDescent="0.3">
      <c r="A22" s="6"/>
      <c r="B22" s="5"/>
      <c r="C22" s="4"/>
      <c r="D22" s="4" t="s">
        <v>143</v>
      </c>
      <c r="E22" s="42" t="s">
        <v>137</v>
      </c>
      <c r="F22" s="42" t="s">
        <v>137</v>
      </c>
      <c r="G22" s="14" t="s">
        <v>144</v>
      </c>
      <c r="H22" s="42"/>
      <c r="I22" s="42" t="s">
        <v>137</v>
      </c>
      <c r="J22" s="13"/>
      <c r="K22" s="2"/>
      <c r="L22" s="60"/>
    </row>
    <row r="23" spans="1:12" ht="18.75" x14ac:dyDescent="0.3">
      <c r="A23" s="6" t="s">
        <v>8</v>
      </c>
      <c r="B23" s="5"/>
      <c r="C23" s="4"/>
      <c r="D23" s="4" t="s">
        <v>32</v>
      </c>
      <c r="E23" s="42" t="s">
        <v>137</v>
      </c>
      <c r="F23" s="42" t="s">
        <v>137</v>
      </c>
      <c r="G23" s="13" t="s">
        <v>30</v>
      </c>
      <c r="H23" s="42"/>
      <c r="I23" s="42" t="s">
        <v>137</v>
      </c>
      <c r="J23" s="13"/>
      <c r="K23" s="2"/>
      <c r="L23" s="60"/>
    </row>
    <row r="24" spans="1:12" ht="24.75" customHeight="1" x14ac:dyDescent="0.3">
      <c r="A24" s="6" t="s">
        <v>12</v>
      </c>
      <c r="B24" s="5"/>
      <c r="C24" s="4"/>
      <c r="D24" s="15" t="s">
        <v>213</v>
      </c>
      <c r="E24" s="42" t="s">
        <v>137</v>
      </c>
      <c r="F24" s="42">
        <f>2+1+2+3+3</f>
        <v>11</v>
      </c>
      <c r="G24" s="14" t="s">
        <v>134</v>
      </c>
      <c r="H24" s="45">
        <f>(3205.6+1642+2430.8+6232.4+3206.4)/F24</f>
        <v>1519.7454545454545</v>
      </c>
      <c r="I24" s="55">
        <f t="shared" ref="I24:I40" si="0">F24*H24</f>
        <v>16717.2</v>
      </c>
      <c r="J24" s="13" t="s">
        <v>117</v>
      </c>
      <c r="K24" s="2"/>
      <c r="L24" s="60"/>
    </row>
    <row r="25" spans="1:12" ht="34.5" customHeight="1" x14ac:dyDescent="0.3">
      <c r="A25" s="6"/>
      <c r="B25" s="5"/>
      <c r="C25" s="4"/>
      <c r="D25" s="15" t="s">
        <v>236</v>
      </c>
      <c r="E25" s="42"/>
      <c r="F25" s="42">
        <v>27</v>
      </c>
      <c r="G25" s="14" t="s">
        <v>134</v>
      </c>
      <c r="H25" s="45">
        <f>310320/F25</f>
        <v>11493.333333333334</v>
      </c>
      <c r="I25" s="70">
        <f t="shared" si="0"/>
        <v>310320</v>
      </c>
      <c r="J25" s="13" t="s">
        <v>117</v>
      </c>
      <c r="K25" s="2"/>
      <c r="L25" s="60"/>
    </row>
    <row r="26" spans="1:12" ht="45" customHeight="1" x14ac:dyDescent="0.3">
      <c r="A26" s="6"/>
      <c r="B26" s="5"/>
      <c r="C26" s="4"/>
      <c r="D26" s="15" t="s">
        <v>239</v>
      </c>
      <c r="E26" s="42"/>
      <c r="F26" s="42">
        <v>1</v>
      </c>
      <c r="G26" s="14" t="s">
        <v>31</v>
      </c>
      <c r="H26" s="42">
        <f>2888.4/F26</f>
        <v>2888.4</v>
      </c>
      <c r="I26" s="55">
        <f t="shared" si="0"/>
        <v>2888.4</v>
      </c>
      <c r="J26" s="13" t="s">
        <v>214</v>
      </c>
      <c r="K26" s="2"/>
      <c r="L26" s="60"/>
    </row>
    <row r="27" spans="1:12" ht="45" customHeight="1" x14ac:dyDescent="0.3">
      <c r="A27" s="6"/>
      <c r="B27" s="5"/>
      <c r="C27" s="4"/>
      <c r="D27" s="15" t="s">
        <v>241</v>
      </c>
      <c r="E27" s="42"/>
      <c r="F27" s="42">
        <f>4.5</f>
        <v>4.5</v>
      </c>
      <c r="G27" s="13" t="s">
        <v>134</v>
      </c>
      <c r="H27" s="66">
        <f>68565/F27</f>
        <v>15236.666666666666</v>
      </c>
      <c r="I27" s="55">
        <f t="shared" si="0"/>
        <v>68565</v>
      </c>
      <c r="J27" s="13" t="s">
        <v>117</v>
      </c>
      <c r="K27" s="2"/>
      <c r="L27" s="60"/>
    </row>
    <row r="28" spans="1:12" ht="45" customHeight="1" x14ac:dyDescent="0.3">
      <c r="A28" s="6"/>
      <c r="B28" s="5"/>
      <c r="C28" s="4"/>
      <c r="D28" s="15" t="s">
        <v>242</v>
      </c>
      <c r="E28" s="42"/>
      <c r="F28" s="42">
        <v>331.6</v>
      </c>
      <c r="G28" s="13" t="s">
        <v>144</v>
      </c>
      <c r="H28" s="66">
        <f>37941.8/F28</f>
        <v>114.42038600723764</v>
      </c>
      <c r="I28" s="55">
        <f t="shared" si="0"/>
        <v>37941.800000000003</v>
      </c>
      <c r="J28" s="13" t="s">
        <v>117</v>
      </c>
      <c r="K28" s="2"/>
      <c r="L28" s="60"/>
    </row>
    <row r="29" spans="1:12" ht="45" customHeight="1" x14ac:dyDescent="0.3">
      <c r="A29" s="6"/>
      <c r="B29" s="5"/>
      <c r="C29" s="4"/>
      <c r="D29" s="15" t="s">
        <v>243</v>
      </c>
      <c r="E29" s="42"/>
      <c r="F29" s="42">
        <v>0.5</v>
      </c>
      <c r="G29" s="14" t="s">
        <v>112</v>
      </c>
      <c r="H29" s="42">
        <f>4076/F29</f>
        <v>8152</v>
      </c>
      <c r="I29" s="55">
        <f t="shared" si="0"/>
        <v>4076</v>
      </c>
      <c r="J29" s="13" t="s">
        <v>117</v>
      </c>
      <c r="K29" s="2"/>
      <c r="L29" s="60"/>
    </row>
    <row r="30" spans="1:12" ht="45" customHeight="1" x14ac:dyDescent="0.3">
      <c r="A30" s="6"/>
      <c r="B30" s="5"/>
      <c r="C30" s="4"/>
      <c r="D30" s="15" t="s">
        <v>244</v>
      </c>
      <c r="E30" s="42"/>
      <c r="F30" s="42">
        <f>30</f>
        <v>30</v>
      </c>
      <c r="G30" s="14" t="s">
        <v>144</v>
      </c>
      <c r="H30" s="45">
        <f>4347.4/F30</f>
        <v>144.91333333333333</v>
      </c>
      <c r="I30" s="55">
        <f t="shared" si="0"/>
        <v>4347.3999999999996</v>
      </c>
      <c r="J30" s="13" t="s">
        <v>117</v>
      </c>
      <c r="K30" s="2"/>
      <c r="L30" s="60"/>
    </row>
    <row r="31" spans="1:12" ht="46.5" customHeight="1" x14ac:dyDescent="0.3">
      <c r="A31" s="6"/>
      <c r="B31" s="5"/>
      <c r="C31" s="4"/>
      <c r="D31" s="15" t="s">
        <v>245</v>
      </c>
      <c r="E31" s="42"/>
      <c r="F31" s="42">
        <v>6</v>
      </c>
      <c r="G31" s="14" t="s">
        <v>112</v>
      </c>
      <c r="H31" s="42">
        <f>6040.2/F31</f>
        <v>1006.6999999999999</v>
      </c>
      <c r="I31" s="55">
        <f t="shared" si="0"/>
        <v>6040.2</v>
      </c>
      <c r="J31" s="13" t="s">
        <v>117</v>
      </c>
      <c r="K31" s="2"/>
      <c r="L31" s="60"/>
    </row>
    <row r="32" spans="1:12" ht="53.25" customHeight="1" x14ac:dyDescent="0.3">
      <c r="A32" s="6"/>
      <c r="B32" s="5"/>
      <c r="C32" s="4"/>
      <c r="D32" s="15" t="s">
        <v>246</v>
      </c>
      <c r="E32" s="42"/>
      <c r="F32" s="42">
        <f>6+19.07+26.09</f>
        <v>51.16</v>
      </c>
      <c r="G32" s="14" t="s">
        <v>112</v>
      </c>
      <c r="H32" s="45">
        <f>(7489.4+18991.4+25982.4)/F32</f>
        <v>1025.4730258014074</v>
      </c>
      <c r="I32" s="55">
        <f t="shared" si="0"/>
        <v>52463.199999999997</v>
      </c>
      <c r="J32" s="13" t="s">
        <v>117</v>
      </c>
      <c r="K32" s="2"/>
      <c r="L32" s="60"/>
    </row>
    <row r="33" spans="1:12" ht="46.5" customHeight="1" x14ac:dyDescent="0.3">
      <c r="A33" s="6"/>
      <c r="B33" s="5"/>
      <c r="C33" s="4"/>
      <c r="D33" s="15" t="s">
        <v>247</v>
      </c>
      <c r="E33" s="42"/>
      <c r="F33" s="42">
        <f>6+51.88+74.5</f>
        <v>132.38</v>
      </c>
      <c r="G33" s="14" t="s">
        <v>112</v>
      </c>
      <c r="H33" s="45">
        <f>(548.2+4590.4+6593.8)/F33</f>
        <v>88.626680767487542</v>
      </c>
      <c r="I33" s="55">
        <f t="shared" si="0"/>
        <v>11732.4</v>
      </c>
      <c r="J33" s="13" t="s">
        <v>117</v>
      </c>
      <c r="K33" s="2"/>
      <c r="L33" s="60"/>
    </row>
    <row r="34" spans="1:12" ht="24.75" customHeight="1" x14ac:dyDescent="0.3">
      <c r="A34" s="6"/>
      <c r="B34" s="5"/>
      <c r="C34" s="4"/>
      <c r="D34" s="15" t="s">
        <v>189</v>
      </c>
      <c r="E34" s="42"/>
      <c r="F34" s="42"/>
      <c r="G34" s="14" t="s">
        <v>145</v>
      </c>
      <c r="H34" s="42"/>
      <c r="I34" s="55">
        <f t="shared" si="0"/>
        <v>0</v>
      </c>
      <c r="J34" s="13" t="s">
        <v>117</v>
      </c>
      <c r="K34" s="2"/>
      <c r="L34" s="60"/>
    </row>
    <row r="35" spans="1:12" ht="52.5" customHeight="1" x14ac:dyDescent="0.3">
      <c r="A35" s="6"/>
      <c r="B35" s="5"/>
      <c r="C35" s="4"/>
      <c r="D35" s="15" t="s">
        <v>248</v>
      </c>
      <c r="E35" s="42"/>
      <c r="F35" s="42">
        <v>44</v>
      </c>
      <c r="G35" s="14" t="s">
        <v>251</v>
      </c>
      <c r="H35" s="45">
        <f>31880/F35</f>
        <v>724.5454545454545</v>
      </c>
      <c r="I35" s="55">
        <f t="shared" ref="I35:I37" si="1">F35*H35</f>
        <v>31880</v>
      </c>
      <c r="J35" s="13" t="s">
        <v>117</v>
      </c>
      <c r="K35" s="2"/>
      <c r="L35" s="60"/>
    </row>
    <row r="36" spans="1:12" ht="42" customHeight="1" x14ac:dyDescent="0.3">
      <c r="A36" s="6"/>
      <c r="B36" s="5"/>
      <c r="C36" s="4"/>
      <c r="D36" s="15" t="s">
        <v>249</v>
      </c>
      <c r="E36" s="42"/>
      <c r="F36" s="42">
        <f>19.77</f>
        <v>19.77</v>
      </c>
      <c r="G36" s="14" t="s">
        <v>144</v>
      </c>
      <c r="H36" s="45">
        <f>9042/F36</f>
        <v>457.35963581183614</v>
      </c>
      <c r="I36" s="55">
        <f t="shared" si="1"/>
        <v>9042</v>
      </c>
      <c r="J36" s="13" t="s">
        <v>117</v>
      </c>
      <c r="K36" s="2"/>
      <c r="L36" s="60"/>
    </row>
    <row r="37" spans="1:12" ht="39.75" customHeight="1" x14ac:dyDescent="0.3">
      <c r="A37" s="6"/>
      <c r="B37" s="5"/>
      <c r="C37" s="4"/>
      <c r="D37" s="15" t="s">
        <v>250</v>
      </c>
      <c r="E37" s="42"/>
      <c r="F37" s="42">
        <v>44</v>
      </c>
      <c r="G37" s="14" t="s">
        <v>144</v>
      </c>
      <c r="H37" s="45">
        <f>15022.6/F37</f>
        <v>341.42272727272729</v>
      </c>
      <c r="I37" s="55">
        <f t="shared" si="1"/>
        <v>15022.6</v>
      </c>
      <c r="J37" s="13" t="s">
        <v>117</v>
      </c>
      <c r="K37" s="2"/>
      <c r="L37" s="60"/>
    </row>
    <row r="38" spans="1:12" ht="78" customHeight="1" x14ac:dyDescent="0.3">
      <c r="A38" s="6"/>
      <c r="B38" s="5"/>
      <c r="C38" s="4"/>
      <c r="D38" s="15" t="s">
        <v>252</v>
      </c>
      <c r="E38" s="42"/>
      <c r="F38" s="42">
        <f>208.09</f>
        <v>208.09</v>
      </c>
      <c r="G38" s="14" t="s">
        <v>144</v>
      </c>
      <c r="H38" s="45">
        <f>53451.2/F38</f>
        <v>256.86577923014079</v>
      </c>
      <c r="I38" s="55">
        <f>F38*H38</f>
        <v>53451.199999999997</v>
      </c>
      <c r="J38" s="13" t="s">
        <v>117</v>
      </c>
      <c r="K38" s="2"/>
      <c r="L38" s="60"/>
    </row>
    <row r="39" spans="1:12" ht="58.5" customHeight="1" x14ac:dyDescent="0.3">
      <c r="A39" s="6"/>
      <c r="B39" s="5"/>
      <c r="C39" s="4"/>
      <c r="D39" s="15" t="s">
        <v>253</v>
      </c>
      <c r="E39" s="42"/>
      <c r="F39" s="42">
        <v>208.09</v>
      </c>
      <c r="G39" s="14" t="s">
        <v>144</v>
      </c>
      <c r="H39" s="45">
        <f>36433/F39</f>
        <v>175.08289682348985</v>
      </c>
      <c r="I39" s="55">
        <f>F39*H39</f>
        <v>36433</v>
      </c>
      <c r="J39" s="13" t="s">
        <v>117</v>
      </c>
      <c r="K39" s="2"/>
      <c r="L39" s="60"/>
    </row>
    <row r="40" spans="1:12" ht="57" customHeight="1" x14ac:dyDescent="0.3">
      <c r="A40" s="6"/>
      <c r="B40" s="5"/>
      <c r="C40" s="4"/>
      <c r="D40" s="15" t="s">
        <v>254</v>
      </c>
      <c r="E40" s="42"/>
      <c r="F40" s="42">
        <f>32.81+48.55</f>
        <v>81.36</v>
      </c>
      <c r="G40" s="14" t="s">
        <v>112</v>
      </c>
      <c r="H40" s="45">
        <f>(9546.2+14126.8)/F40</f>
        <v>290.9660766961652</v>
      </c>
      <c r="I40" s="55">
        <f t="shared" si="0"/>
        <v>23673</v>
      </c>
      <c r="J40" s="13" t="s">
        <v>117</v>
      </c>
      <c r="K40" s="2"/>
      <c r="L40" s="60"/>
    </row>
    <row r="41" spans="1:12" ht="57" customHeight="1" x14ac:dyDescent="0.3">
      <c r="A41" s="6"/>
      <c r="B41" s="5"/>
      <c r="C41" s="4"/>
      <c r="D41" s="15" t="s">
        <v>255</v>
      </c>
      <c r="E41" s="42"/>
      <c r="F41" s="42">
        <v>18</v>
      </c>
      <c r="G41" s="14" t="s">
        <v>112</v>
      </c>
      <c r="H41" s="45">
        <f>(1852+745)/F41</f>
        <v>144.27777777777777</v>
      </c>
      <c r="I41" s="55">
        <f>F41*H41</f>
        <v>2597</v>
      </c>
      <c r="J41" s="13" t="s">
        <v>117</v>
      </c>
      <c r="K41" s="2"/>
      <c r="L41" s="60"/>
    </row>
    <row r="42" spans="1:12" ht="57" customHeight="1" x14ac:dyDescent="0.3">
      <c r="A42" s="6"/>
      <c r="B42" s="5"/>
      <c r="C42" s="4"/>
      <c r="D42" s="15" t="s">
        <v>256</v>
      </c>
      <c r="E42" s="42"/>
      <c r="F42" s="42">
        <f>5.1+0.18</f>
        <v>5.2799999999999994</v>
      </c>
      <c r="G42" s="14" t="s">
        <v>112</v>
      </c>
      <c r="H42" s="45">
        <f>(36868.2+1418.6)/F42</f>
        <v>7251.287878787879</v>
      </c>
      <c r="I42" s="55">
        <f>F42*H42</f>
        <v>38286.799999999996</v>
      </c>
      <c r="J42" s="13" t="s">
        <v>117</v>
      </c>
      <c r="K42" s="2"/>
      <c r="L42" s="60"/>
    </row>
    <row r="43" spans="1:12" ht="18.75" x14ac:dyDescent="0.3">
      <c r="A43" s="6" t="s">
        <v>55</v>
      </c>
      <c r="B43" s="5"/>
      <c r="C43" s="4"/>
      <c r="D43" s="15" t="s">
        <v>138</v>
      </c>
      <c r="E43" s="42"/>
      <c r="F43" s="42" t="s">
        <v>137</v>
      </c>
      <c r="G43" s="14" t="s">
        <v>30</v>
      </c>
      <c r="H43" s="42"/>
      <c r="I43" s="42" t="s">
        <v>137</v>
      </c>
      <c r="J43" s="13"/>
      <c r="L43" s="60"/>
    </row>
    <row r="44" spans="1:12" ht="32.25" x14ac:dyDescent="0.3">
      <c r="A44" s="6" t="s">
        <v>57</v>
      </c>
      <c r="B44" s="5"/>
      <c r="C44" s="4"/>
      <c r="D44" s="15" t="s">
        <v>94</v>
      </c>
      <c r="E44" s="42" t="s">
        <v>137</v>
      </c>
      <c r="F44" s="42" t="s">
        <v>137</v>
      </c>
      <c r="G44" s="14" t="s">
        <v>53</v>
      </c>
      <c r="H44" s="42"/>
      <c r="I44" s="42" t="s">
        <v>137</v>
      </c>
      <c r="J44" s="13"/>
      <c r="L44" s="60"/>
    </row>
    <row r="45" spans="1:12" ht="32.25" x14ac:dyDescent="0.3">
      <c r="A45" s="6" t="s">
        <v>14</v>
      </c>
      <c r="B45" s="5"/>
      <c r="C45" s="4"/>
      <c r="D45" s="15" t="s">
        <v>93</v>
      </c>
      <c r="E45" s="42" t="s">
        <v>137</v>
      </c>
      <c r="F45" s="42" t="s">
        <v>137</v>
      </c>
      <c r="G45" s="14" t="s">
        <v>54</v>
      </c>
      <c r="H45" s="42"/>
      <c r="I45" s="42" t="s">
        <v>137</v>
      </c>
      <c r="J45" s="13"/>
      <c r="L45" s="60"/>
    </row>
    <row r="46" spans="1:12" ht="18.75" x14ac:dyDescent="0.3">
      <c r="A46" s="6" t="s">
        <v>15</v>
      </c>
      <c r="B46" s="5"/>
      <c r="C46" s="4"/>
      <c r="D46" s="4" t="s">
        <v>42</v>
      </c>
      <c r="E46" s="42" t="s">
        <v>137</v>
      </c>
      <c r="F46" s="42" t="s">
        <v>137</v>
      </c>
      <c r="G46" s="14" t="s">
        <v>54</v>
      </c>
      <c r="H46" s="42"/>
      <c r="I46" s="42" t="s">
        <v>137</v>
      </c>
      <c r="J46" s="13"/>
      <c r="L46" s="60"/>
    </row>
    <row r="47" spans="1:12" ht="18.75" x14ac:dyDescent="0.3">
      <c r="A47" s="6" t="s">
        <v>16</v>
      </c>
      <c r="B47" s="5"/>
      <c r="C47" s="4"/>
      <c r="D47" s="4" t="s">
        <v>43</v>
      </c>
      <c r="E47" s="42" t="s">
        <v>137</v>
      </c>
      <c r="F47" s="42" t="s">
        <v>137</v>
      </c>
      <c r="G47" s="14" t="s">
        <v>53</v>
      </c>
      <c r="H47" s="42"/>
      <c r="I47" s="42" t="s">
        <v>137</v>
      </c>
      <c r="J47" s="13"/>
      <c r="L47" s="60"/>
    </row>
    <row r="48" spans="1:12" ht="18.75" x14ac:dyDescent="0.3">
      <c r="A48" s="6" t="s">
        <v>17</v>
      </c>
      <c r="B48" s="5"/>
      <c r="C48" s="4"/>
      <c r="D48" s="4" t="s">
        <v>44</v>
      </c>
      <c r="E48" s="42" t="s">
        <v>137</v>
      </c>
      <c r="F48" s="42" t="s">
        <v>137</v>
      </c>
      <c r="G48" s="13" t="s">
        <v>30</v>
      </c>
      <c r="H48" s="42"/>
      <c r="I48" s="42" t="s">
        <v>137</v>
      </c>
      <c r="J48" s="13"/>
      <c r="L48" s="60"/>
    </row>
    <row r="49" spans="1:12" ht="18.75" x14ac:dyDescent="0.3">
      <c r="A49" s="6" t="s">
        <v>18</v>
      </c>
      <c r="B49" s="5"/>
      <c r="C49" s="4"/>
      <c r="D49" s="4" t="s">
        <v>45</v>
      </c>
      <c r="E49" s="42" t="s">
        <v>137</v>
      </c>
      <c r="F49" s="42" t="s">
        <v>137</v>
      </c>
      <c r="G49" s="14" t="s">
        <v>54</v>
      </c>
      <c r="H49" s="42"/>
      <c r="I49" s="42" t="s">
        <v>137</v>
      </c>
      <c r="J49" s="13"/>
      <c r="L49" s="60"/>
    </row>
    <row r="50" spans="1:12" ht="18.75" x14ac:dyDescent="0.3">
      <c r="A50" s="28"/>
      <c r="B50" s="22"/>
      <c r="C50" s="22"/>
      <c r="D50" s="22"/>
      <c r="E50" s="46"/>
      <c r="F50" s="46"/>
      <c r="G50" s="12"/>
      <c r="H50" s="42"/>
      <c r="I50" s="45">
        <f>SUM(I19:I49)</f>
        <v>733052.4</v>
      </c>
      <c r="J50" s="13"/>
      <c r="L50" s="60"/>
    </row>
    <row r="51" spans="1:12" ht="24" customHeight="1" x14ac:dyDescent="0.3">
      <c r="A51" s="80" t="s">
        <v>86</v>
      </c>
      <c r="B51" s="81"/>
      <c r="C51" s="81"/>
      <c r="D51" s="81"/>
      <c r="E51" s="81"/>
      <c r="F51" s="81"/>
      <c r="G51" s="82"/>
      <c r="H51" s="14"/>
      <c r="I51" s="5"/>
      <c r="J51" s="13"/>
      <c r="L51" s="60"/>
    </row>
    <row r="52" spans="1:12" ht="32.25" customHeight="1" x14ac:dyDescent="0.3">
      <c r="A52" s="6" t="s">
        <v>49</v>
      </c>
      <c r="B52" s="5"/>
      <c r="C52" s="4"/>
      <c r="D52" s="15" t="s">
        <v>186</v>
      </c>
      <c r="E52" s="32"/>
      <c r="F52" s="13"/>
      <c r="G52" s="38" t="s">
        <v>31</v>
      </c>
      <c r="H52" s="13"/>
      <c r="I52" s="13"/>
      <c r="J52" s="13"/>
      <c r="L52" s="60"/>
    </row>
    <row r="53" spans="1:12" ht="32.25" customHeight="1" x14ac:dyDescent="0.3">
      <c r="A53" s="6"/>
      <c r="B53" s="5"/>
      <c r="C53" s="4"/>
      <c r="D53" s="15" t="s">
        <v>262</v>
      </c>
      <c r="E53" s="42"/>
      <c r="F53" s="42">
        <f>1</f>
        <v>1</v>
      </c>
      <c r="G53" s="13" t="s">
        <v>31</v>
      </c>
      <c r="H53" s="42">
        <f>198.8/F53</f>
        <v>198.8</v>
      </c>
      <c r="I53" s="55">
        <f t="shared" ref="I53:I58" si="2">F53*H53</f>
        <v>198.8</v>
      </c>
      <c r="J53" s="13" t="s">
        <v>119</v>
      </c>
      <c r="L53" s="60"/>
    </row>
    <row r="54" spans="1:12" ht="32.25" customHeight="1" x14ac:dyDescent="0.3">
      <c r="A54" s="6"/>
      <c r="B54" s="5"/>
      <c r="C54" s="4"/>
      <c r="D54" s="15" t="s">
        <v>263</v>
      </c>
      <c r="E54" s="42"/>
      <c r="F54" s="42">
        <f>2.2</f>
        <v>2.2000000000000002</v>
      </c>
      <c r="G54" s="13" t="s">
        <v>145</v>
      </c>
      <c r="H54" s="45">
        <f>158.8/F54</f>
        <v>72.181818181818187</v>
      </c>
      <c r="I54" s="55">
        <f t="shared" si="2"/>
        <v>158.80000000000001</v>
      </c>
      <c r="J54" s="13" t="s">
        <v>119</v>
      </c>
      <c r="L54" s="60"/>
    </row>
    <row r="55" spans="1:12" ht="32.25" customHeight="1" x14ac:dyDescent="0.3">
      <c r="A55" s="6"/>
      <c r="B55" s="5"/>
      <c r="C55" s="4"/>
      <c r="D55" s="15" t="s">
        <v>192</v>
      </c>
      <c r="E55" s="42"/>
      <c r="F55" s="42">
        <f>7</f>
        <v>7</v>
      </c>
      <c r="G55" s="13" t="s">
        <v>31</v>
      </c>
      <c r="H55" s="45">
        <f>4385.2/F55</f>
        <v>626.4571428571428</v>
      </c>
      <c r="I55" s="55">
        <f t="shared" si="2"/>
        <v>4385.2</v>
      </c>
      <c r="J55" s="13" t="s">
        <v>119</v>
      </c>
      <c r="L55" s="60"/>
    </row>
    <row r="56" spans="1:12" ht="32.25" customHeight="1" x14ac:dyDescent="0.3">
      <c r="A56" s="6"/>
      <c r="B56" s="5"/>
      <c r="C56" s="4"/>
      <c r="D56" s="15" t="s">
        <v>193</v>
      </c>
      <c r="E56" s="42"/>
      <c r="F56" s="42">
        <f>1</f>
        <v>1</v>
      </c>
      <c r="G56" s="13" t="s">
        <v>31</v>
      </c>
      <c r="H56" s="42">
        <f>1028/F56</f>
        <v>1028</v>
      </c>
      <c r="I56" s="42">
        <f t="shared" si="2"/>
        <v>1028</v>
      </c>
      <c r="J56" s="13" t="s">
        <v>120</v>
      </c>
      <c r="L56" s="60"/>
    </row>
    <row r="57" spans="1:12" ht="32.25" customHeight="1" x14ac:dyDescent="0.3">
      <c r="A57" s="6"/>
      <c r="B57" s="5"/>
      <c r="C57" s="4"/>
      <c r="D57" s="15" t="s">
        <v>261</v>
      </c>
      <c r="E57" s="42"/>
      <c r="F57" s="42">
        <f>1</f>
        <v>1</v>
      </c>
      <c r="G57" s="13" t="s">
        <v>31</v>
      </c>
      <c r="H57" s="42">
        <f>1552/F57</f>
        <v>1552</v>
      </c>
      <c r="I57" s="55">
        <f t="shared" si="2"/>
        <v>1552</v>
      </c>
      <c r="J57" s="13" t="s">
        <v>223</v>
      </c>
      <c r="L57" s="60"/>
    </row>
    <row r="58" spans="1:12" ht="32.25" customHeight="1" x14ac:dyDescent="0.3">
      <c r="A58" s="6"/>
      <c r="B58" s="5"/>
      <c r="C58" s="4"/>
      <c r="D58" s="15" t="s">
        <v>204</v>
      </c>
      <c r="E58" s="42"/>
      <c r="F58" s="42">
        <f>1</f>
        <v>1</v>
      </c>
      <c r="G58" s="13" t="s">
        <v>31</v>
      </c>
      <c r="H58" s="42">
        <f>3629.6/F58</f>
        <v>3629.6</v>
      </c>
      <c r="I58" s="55">
        <f t="shared" si="2"/>
        <v>3629.6</v>
      </c>
      <c r="J58" s="13" t="s">
        <v>147</v>
      </c>
      <c r="L58" s="60"/>
    </row>
    <row r="59" spans="1:12" ht="32.25" customHeight="1" x14ac:dyDescent="0.3">
      <c r="A59" s="6"/>
      <c r="B59" s="5"/>
      <c r="C59" s="4"/>
      <c r="D59" s="15" t="s">
        <v>205</v>
      </c>
      <c r="E59" s="42"/>
      <c r="F59" s="42">
        <f>2+1</f>
        <v>3</v>
      </c>
      <c r="G59" s="13" t="s">
        <v>31</v>
      </c>
      <c r="H59" s="45">
        <f>(2950.4+1557.2)/F59</f>
        <v>1502.5333333333335</v>
      </c>
      <c r="I59" s="55">
        <f t="shared" ref="I59" si="3">F59*H59</f>
        <v>4507.6000000000004</v>
      </c>
      <c r="J59" s="13" t="s">
        <v>119</v>
      </c>
      <c r="L59" s="60"/>
    </row>
    <row r="60" spans="1:12" ht="50.25" customHeight="1" x14ac:dyDescent="0.3">
      <c r="A60" s="6"/>
      <c r="B60" s="5"/>
      <c r="C60" s="4"/>
      <c r="D60" s="15" t="s">
        <v>191</v>
      </c>
      <c r="E60" s="42"/>
      <c r="F60" s="42">
        <f>43.5+36+2+2</f>
        <v>83.5</v>
      </c>
      <c r="G60" s="13" t="s">
        <v>145</v>
      </c>
      <c r="H60" s="45">
        <f>(11560.6+9709.8+541+541)/F60</f>
        <v>267.69341317365269</v>
      </c>
      <c r="I60" s="55">
        <f>F60*H60</f>
        <v>22352.399999999998</v>
      </c>
      <c r="J60" s="13" t="s">
        <v>147</v>
      </c>
      <c r="L60" s="60"/>
    </row>
    <row r="61" spans="1:12" ht="32.25" customHeight="1" x14ac:dyDescent="0.3">
      <c r="A61" s="6"/>
      <c r="B61" s="5"/>
      <c r="C61" s="4"/>
      <c r="D61" s="15" t="s">
        <v>229</v>
      </c>
      <c r="E61" s="42"/>
      <c r="F61" s="42">
        <f>1</f>
        <v>1</v>
      </c>
      <c r="G61" s="13" t="s">
        <v>31</v>
      </c>
      <c r="H61" s="42">
        <f>6622.4/F61</f>
        <v>6622.4</v>
      </c>
      <c r="I61" s="42">
        <f>F61*H61</f>
        <v>6622.4</v>
      </c>
      <c r="J61" s="13" t="s">
        <v>120</v>
      </c>
      <c r="L61" s="60"/>
    </row>
    <row r="62" spans="1:12" ht="49.5" customHeight="1" x14ac:dyDescent="0.3">
      <c r="A62" s="6"/>
      <c r="B62" s="5"/>
      <c r="C62" s="4"/>
      <c r="D62" s="15" t="s">
        <v>197</v>
      </c>
      <c r="E62" s="42"/>
      <c r="F62" s="42">
        <f>9.66</f>
        <v>9.66</v>
      </c>
      <c r="G62" s="13" t="s">
        <v>112</v>
      </c>
      <c r="H62" s="45">
        <f>4622.8/F62</f>
        <v>478.55072463768118</v>
      </c>
      <c r="I62" s="56">
        <f>F62*H62</f>
        <v>4622.8</v>
      </c>
      <c r="J62" s="13" t="s">
        <v>119</v>
      </c>
      <c r="L62" s="60"/>
    </row>
    <row r="63" spans="1:12" ht="49.5" customHeight="1" x14ac:dyDescent="0.3">
      <c r="A63" s="6"/>
      <c r="B63" s="5"/>
      <c r="C63" s="4"/>
      <c r="D63" s="15" t="s">
        <v>266</v>
      </c>
      <c r="E63" s="42"/>
      <c r="F63" s="42">
        <f>2.8</f>
        <v>2.8</v>
      </c>
      <c r="G63" s="13" t="s">
        <v>112</v>
      </c>
      <c r="H63" s="45">
        <f>611.6/F63</f>
        <v>218.42857142857144</v>
      </c>
      <c r="I63" s="56">
        <f>F63*H63</f>
        <v>611.6</v>
      </c>
      <c r="J63" s="13" t="s">
        <v>119</v>
      </c>
      <c r="L63" s="60"/>
    </row>
    <row r="64" spans="1:12" ht="32.25" x14ac:dyDescent="0.3">
      <c r="A64" s="6" t="s">
        <v>50</v>
      </c>
      <c r="B64" s="5"/>
      <c r="C64" s="4"/>
      <c r="D64" s="15" t="s">
        <v>217</v>
      </c>
      <c r="E64" s="42"/>
      <c r="F64" s="42">
        <f>134+174</f>
        <v>308</v>
      </c>
      <c r="G64" s="13" t="s">
        <v>54</v>
      </c>
      <c r="H64" s="45">
        <f>(32310.8+48214.8)/F64</f>
        <v>261.44675324675325</v>
      </c>
      <c r="I64" s="55">
        <f t="shared" ref="I64:I67" si="4">F64*H64</f>
        <v>80525.600000000006</v>
      </c>
      <c r="J64" s="13" t="s">
        <v>117</v>
      </c>
      <c r="L64" s="60"/>
    </row>
    <row r="65" spans="1:12" ht="32.25" x14ac:dyDescent="0.3">
      <c r="A65" s="6"/>
      <c r="B65" s="5"/>
      <c r="C65" s="4"/>
      <c r="D65" s="15" t="s">
        <v>175</v>
      </c>
      <c r="E65" s="42"/>
      <c r="F65" s="42"/>
      <c r="G65" s="13" t="s">
        <v>112</v>
      </c>
      <c r="H65" s="42"/>
      <c r="I65" s="45"/>
      <c r="J65" s="13"/>
      <c r="L65" s="60"/>
    </row>
    <row r="66" spans="1:12" ht="32.25" x14ac:dyDescent="0.3">
      <c r="A66" s="6"/>
      <c r="B66" s="5"/>
      <c r="C66" s="4"/>
      <c r="D66" s="15" t="s">
        <v>176</v>
      </c>
      <c r="E66" s="42"/>
      <c r="F66" s="42">
        <f>0.41</f>
        <v>0.41</v>
      </c>
      <c r="G66" s="13" t="s">
        <v>112</v>
      </c>
      <c r="H66" s="45">
        <f>1098.6/F66</f>
        <v>2679.5121951219512</v>
      </c>
      <c r="I66" s="56">
        <f>F66*H66</f>
        <v>1098.5999999999999</v>
      </c>
      <c r="J66" s="13" t="s">
        <v>119</v>
      </c>
      <c r="L66" s="60"/>
    </row>
    <row r="67" spans="1:12" ht="32.25" x14ac:dyDescent="0.3">
      <c r="A67" s="6"/>
      <c r="B67" s="5"/>
      <c r="C67" s="4"/>
      <c r="D67" s="15" t="s">
        <v>190</v>
      </c>
      <c r="E67" s="42"/>
      <c r="F67" s="42">
        <f>0.41</f>
        <v>0.41</v>
      </c>
      <c r="G67" s="13" t="s">
        <v>112</v>
      </c>
      <c r="H67" s="45"/>
      <c r="I67" s="56">
        <f t="shared" si="4"/>
        <v>0</v>
      </c>
      <c r="J67" s="13" t="s">
        <v>119</v>
      </c>
      <c r="K67" s="63"/>
      <c r="L67" s="60"/>
    </row>
    <row r="68" spans="1:12" ht="18.75" x14ac:dyDescent="0.3">
      <c r="A68" s="6"/>
      <c r="B68" s="5"/>
      <c r="C68" s="4"/>
      <c r="D68" s="15" t="s">
        <v>206</v>
      </c>
      <c r="E68" s="42"/>
      <c r="F68" s="42"/>
      <c r="G68" s="13" t="s">
        <v>112</v>
      </c>
      <c r="H68" s="42"/>
      <c r="I68" s="45"/>
      <c r="J68" s="13"/>
      <c r="L68" s="60"/>
    </row>
    <row r="69" spans="1:12" ht="48" x14ac:dyDescent="0.3">
      <c r="A69" s="6"/>
      <c r="B69" s="5"/>
      <c r="C69" s="4"/>
      <c r="D69" s="15" t="s">
        <v>202</v>
      </c>
      <c r="E69" s="42"/>
      <c r="F69" s="42"/>
      <c r="G69" s="13" t="s">
        <v>112</v>
      </c>
      <c r="H69" s="42"/>
      <c r="I69" s="45"/>
      <c r="J69" s="13"/>
      <c r="L69" s="60"/>
    </row>
    <row r="70" spans="1:12" ht="32.25" x14ac:dyDescent="0.3">
      <c r="A70" s="6" t="s">
        <v>59</v>
      </c>
      <c r="B70" s="8"/>
      <c r="C70" s="4"/>
      <c r="D70" s="15" t="s">
        <v>46</v>
      </c>
      <c r="E70" s="42"/>
      <c r="F70" s="42"/>
      <c r="G70" s="14" t="s">
        <v>53</v>
      </c>
      <c r="H70" s="42"/>
      <c r="I70" s="42"/>
      <c r="J70" s="13"/>
      <c r="L70" s="60"/>
    </row>
    <row r="71" spans="1:12" ht="32.25" x14ac:dyDescent="0.3">
      <c r="A71" s="6"/>
      <c r="B71" s="8"/>
      <c r="C71" s="4"/>
      <c r="D71" s="15" t="s">
        <v>265</v>
      </c>
      <c r="E71" s="42"/>
      <c r="F71" s="42">
        <f>59.8</f>
        <v>59.8</v>
      </c>
      <c r="G71" s="13" t="s">
        <v>112</v>
      </c>
      <c r="H71" s="45">
        <f>5601.2/F71</f>
        <v>93.665551839464882</v>
      </c>
      <c r="I71" s="55">
        <f>F71*H71</f>
        <v>5601.2</v>
      </c>
      <c r="J71" s="13" t="s">
        <v>119</v>
      </c>
      <c r="L71" s="60"/>
    </row>
    <row r="72" spans="1:12" ht="48" x14ac:dyDescent="0.3">
      <c r="A72" s="6"/>
      <c r="B72" s="8"/>
      <c r="C72" s="4"/>
      <c r="D72" s="15" t="s">
        <v>198</v>
      </c>
      <c r="E72" s="42"/>
      <c r="F72" s="42">
        <f>66.6</f>
        <v>66.599999999999994</v>
      </c>
      <c r="G72" s="13" t="s">
        <v>112</v>
      </c>
      <c r="H72" s="45">
        <f>42892.6/F72</f>
        <v>644.03303303303312</v>
      </c>
      <c r="I72" s="55">
        <f>F72*H72</f>
        <v>42892.600000000006</v>
      </c>
      <c r="J72" s="13" t="s">
        <v>119</v>
      </c>
      <c r="L72" s="60"/>
    </row>
    <row r="73" spans="1:12" ht="18.75" x14ac:dyDescent="0.3">
      <c r="A73" s="6" t="s">
        <v>61</v>
      </c>
      <c r="B73" s="5"/>
      <c r="C73" s="4"/>
      <c r="D73" s="15" t="s">
        <v>51</v>
      </c>
      <c r="E73" s="42"/>
      <c r="F73" s="42"/>
      <c r="G73" s="14" t="s">
        <v>53</v>
      </c>
      <c r="H73" s="42"/>
      <c r="I73" s="42" t="s">
        <v>137</v>
      </c>
      <c r="J73" s="13"/>
      <c r="L73" s="60"/>
    </row>
    <row r="74" spans="1:12" ht="18.75" x14ac:dyDescent="0.3">
      <c r="A74" s="6"/>
      <c r="B74" s="5"/>
      <c r="C74" s="4"/>
      <c r="D74" s="15" t="s">
        <v>264</v>
      </c>
      <c r="E74" s="42"/>
      <c r="F74" s="42">
        <f>10</f>
        <v>10</v>
      </c>
      <c r="G74" s="14" t="s">
        <v>31</v>
      </c>
      <c r="H74" s="42">
        <f>1613/F74</f>
        <v>161.30000000000001</v>
      </c>
      <c r="I74" s="55">
        <f>F74*H74</f>
        <v>1613</v>
      </c>
      <c r="J74" s="13" t="s">
        <v>119</v>
      </c>
      <c r="L74" s="60"/>
    </row>
    <row r="75" spans="1:12" ht="48" x14ac:dyDescent="0.3">
      <c r="A75" s="6"/>
      <c r="B75" s="5"/>
      <c r="C75" s="4"/>
      <c r="D75" s="15" t="s">
        <v>199</v>
      </c>
      <c r="E75" s="42"/>
      <c r="F75" s="42"/>
      <c r="G75" s="13" t="s">
        <v>112</v>
      </c>
      <c r="H75" s="42"/>
      <c r="I75" s="45"/>
      <c r="J75" s="13"/>
      <c r="L75" s="60"/>
    </row>
    <row r="76" spans="1:12" ht="32.25" x14ac:dyDescent="0.3">
      <c r="A76" s="6"/>
      <c r="B76" s="5"/>
      <c r="C76" s="4"/>
      <c r="D76" s="15" t="s">
        <v>259</v>
      </c>
      <c r="E76" s="42"/>
      <c r="F76" s="42">
        <f>0.63</f>
        <v>0.63</v>
      </c>
      <c r="G76" s="13" t="s">
        <v>112</v>
      </c>
      <c r="H76" s="66">
        <f>1295.2/F76</f>
        <v>2055.8730158730159</v>
      </c>
      <c r="I76" s="56">
        <f>F76*H76</f>
        <v>1295.2</v>
      </c>
      <c r="J76" s="13" t="s">
        <v>119</v>
      </c>
      <c r="L76" s="60"/>
    </row>
    <row r="77" spans="1:12" ht="32.25" x14ac:dyDescent="0.3">
      <c r="A77" s="6" t="s">
        <v>62</v>
      </c>
      <c r="B77" s="5"/>
      <c r="C77" s="4"/>
      <c r="D77" s="15" t="s">
        <v>64</v>
      </c>
      <c r="E77" s="42"/>
      <c r="F77" s="42"/>
      <c r="G77" s="13" t="s">
        <v>30</v>
      </c>
      <c r="H77" s="42"/>
      <c r="I77" s="42" t="s">
        <v>137</v>
      </c>
      <c r="J77" s="13"/>
      <c r="L77" s="60"/>
    </row>
    <row r="78" spans="1:12" ht="18.75" x14ac:dyDescent="0.3">
      <c r="A78" s="6"/>
      <c r="B78" s="5"/>
      <c r="C78" s="4"/>
      <c r="D78" s="15" t="s">
        <v>158</v>
      </c>
      <c r="E78" s="42"/>
      <c r="F78" s="42">
        <f>1</f>
        <v>1</v>
      </c>
      <c r="G78" s="13" t="s">
        <v>31</v>
      </c>
      <c r="H78" s="42">
        <f>1055.2/F78</f>
        <v>1055.2</v>
      </c>
      <c r="I78" s="55">
        <f>F78*H78</f>
        <v>1055.2</v>
      </c>
      <c r="J78" s="13" t="s">
        <v>147</v>
      </c>
      <c r="L78" s="60"/>
    </row>
    <row r="79" spans="1:12" ht="18.75" x14ac:dyDescent="0.3">
      <c r="A79" s="6"/>
      <c r="B79" s="5"/>
      <c r="C79" s="4"/>
      <c r="D79" s="15" t="s">
        <v>160</v>
      </c>
      <c r="E79" s="42"/>
      <c r="F79" s="42"/>
      <c r="G79" s="13" t="s">
        <v>177</v>
      </c>
      <c r="H79" s="42"/>
      <c r="I79" s="42" t="s">
        <v>137</v>
      </c>
      <c r="J79" s="13"/>
      <c r="L79" s="60"/>
    </row>
    <row r="80" spans="1:12" ht="18.75" x14ac:dyDescent="0.3">
      <c r="A80" s="6" t="s">
        <v>58</v>
      </c>
      <c r="B80" s="8"/>
      <c r="C80" s="4"/>
      <c r="D80" s="4" t="s">
        <v>47</v>
      </c>
      <c r="E80" s="42"/>
      <c r="F80" s="42"/>
      <c r="G80" s="14" t="s">
        <v>53</v>
      </c>
      <c r="H80" s="42"/>
      <c r="I80" s="42" t="s">
        <v>137</v>
      </c>
      <c r="J80" s="13"/>
      <c r="L80" s="60"/>
    </row>
    <row r="81" spans="1:12" ht="18.75" x14ac:dyDescent="0.3">
      <c r="A81" s="6"/>
      <c r="B81" s="8"/>
      <c r="C81" s="4"/>
      <c r="D81" s="4" t="s">
        <v>228</v>
      </c>
      <c r="E81" s="42"/>
      <c r="F81" s="42">
        <f>1</f>
        <v>1</v>
      </c>
      <c r="G81" s="14" t="s">
        <v>220</v>
      </c>
      <c r="H81" s="45">
        <f>740.4/F81</f>
        <v>740.4</v>
      </c>
      <c r="I81" s="55">
        <f>F81*H81</f>
        <v>740.4</v>
      </c>
      <c r="J81" s="13" t="s">
        <v>117</v>
      </c>
      <c r="L81" s="60"/>
    </row>
    <row r="82" spans="1:12" ht="24" customHeight="1" x14ac:dyDescent="0.3">
      <c r="A82" s="6" t="s">
        <v>60</v>
      </c>
      <c r="B82" s="8"/>
      <c r="C82" s="4"/>
      <c r="D82" s="4" t="s">
        <v>48</v>
      </c>
      <c r="E82" s="42"/>
      <c r="F82" s="42"/>
      <c r="G82" s="14" t="s">
        <v>53</v>
      </c>
      <c r="H82" s="42"/>
      <c r="I82" s="42" t="s">
        <v>137</v>
      </c>
      <c r="J82" s="13"/>
      <c r="L82" s="60"/>
    </row>
    <row r="83" spans="1:12" ht="24" customHeight="1" x14ac:dyDescent="0.3">
      <c r="A83" s="6" t="s">
        <v>65</v>
      </c>
      <c r="B83" s="8"/>
      <c r="C83" s="4"/>
      <c r="D83" s="4" t="s">
        <v>200</v>
      </c>
      <c r="E83" s="42"/>
      <c r="F83" s="42"/>
      <c r="G83" s="14" t="s">
        <v>31</v>
      </c>
      <c r="H83" s="42"/>
      <c r="I83" s="42">
        <f>F83*H83</f>
        <v>0</v>
      </c>
      <c r="J83" s="13" t="s">
        <v>117</v>
      </c>
      <c r="L83" s="60"/>
    </row>
    <row r="84" spans="1:12" ht="18.75" x14ac:dyDescent="0.3">
      <c r="A84" s="28"/>
      <c r="B84" s="22"/>
      <c r="C84" s="22"/>
      <c r="D84" s="41" t="s">
        <v>218</v>
      </c>
      <c r="E84" s="62"/>
      <c r="F84" s="62">
        <v>32</v>
      </c>
      <c r="G84" s="13" t="s">
        <v>31</v>
      </c>
      <c r="H84" s="42"/>
      <c r="I84" s="42">
        <f>F84*H84</f>
        <v>0</v>
      </c>
      <c r="J84" s="13" t="s">
        <v>117</v>
      </c>
      <c r="L84" s="60"/>
    </row>
    <row r="85" spans="1:12" ht="18.75" x14ac:dyDescent="0.3">
      <c r="A85" s="28"/>
      <c r="B85" s="22"/>
      <c r="C85" s="22"/>
      <c r="D85" s="22"/>
      <c r="E85" s="46"/>
      <c r="F85" s="46"/>
      <c r="G85" s="12"/>
      <c r="H85" s="42"/>
      <c r="I85" s="45">
        <f>SUM(I52:I84)</f>
        <v>184491.00000000003</v>
      </c>
      <c r="J85" s="13"/>
      <c r="L85" s="60"/>
    </row>
    <row r="86" spans="1:12" ht="18.75" x14ac:dyDescent="0.3">
      <c r="A86" s="80" t="s">
        <v>67</v>
      </c>
      <c r="B86" s="81"/>
      <c r="C86" s="81"/>
      <c r="D86" s="81"/>
      <c r="E86" s="81"/>
      <c r="F86" s="81"/>
      <c r="G86" s="82"/>
      <c r="H86" s="18"/>
      <c r="I86" s="5"/>
      <c r="J86" s="13"/>
      <c r="L86" s="60"/>
    </row>
    <row r="87" spans="1:12" ht="37.5" x14ac:dyDescent="0.25">
      <c r="A87" s="9" t="s">
        <v>29</v>
      </c>
      <c r="B87" s="8"/>
      <c r="C87" s="4"/>
      <c r="D87" s="15" t="s">
        <v>141</v>
      </c>
      <c r="E87" s="42" t="s">
        <v>137</v>
      </c>
      <c r="F87" s="42" t="s">
        <v>137</v>
      </c>
      <c r="G87" s="13" t="s">
        <v>54</v>
      </c>
      <c r="H87" s="42"/>
      <c r="I87" s="42" t="s">
        <v>137</v>
      </c>
      <c r="J87" s="13"/>
      <c r="L87" s="60"/>
    </row>
    <row r="88" spans="1:12" ht="47.25" x14ac:dyDescent="0.25">
      <c r="A88" s="9"/>
      <c r="B88" s="8"/>
      <c r="C88" s="4"/>
      <c r="D88" s="15" t="s">
        <v>203</v>
      </c>
      <c r="E88" s="42"/>
      <c r="F88" s="42">
        <f>1</f>
        <v>1</v>
      </c>
      <c r="G88" s="13" t="s">
        <v>112</v>
      </c>
      <c r="H88" s="42">
        <f>709/F88</f>
        <v>709</v>
      </c>
      <c r="I88" s="55">
        <f>F88*H88</f>
        <v>709</v>
      </c>
      <c r="J88" s="13" t="s">
        <v>119</v>
      </c>
      <c r="L88" s="60"/>
    </row>
    <row r="89" spans="1:12" ht="31.5" x14ac:dyDescent="0.25">
      <c r="A89" s="9"/>
      <c r="B89" s="8"/>
      <c r="C89" s="4"/>
      <c r="D89" s="15" t="s">
        <v>195</v>
      </c>
      <c r="E89" s="42"/>
      <c r="F89" s="42"/>
      <c r="G89" s="13" t="s">
        <v>30</v>
      </c>
      <c r="H89" s="42"/>
      <c r="I89" s="42"/>
      <c r="J89" s="13"/>
      <c r="L89" s="60"/>
    </row>
    <row r="90" spans="1:12" ht="46.5" customHeight="1" x14ac:dyDescent="0.25">
      <c r="A90" s="9" t="s">
        <v>92</v>
      </c>
      <c r="B90" s="8"/>
      <c r="C90" s="4"/>
      <c r="D90" s="43" t="s">
        <v>123</v>
      </c>
      <c r="E90" s="32"/>
      <c r="F90" s="13">
        <f>5170</f>
        <v>5170</v>
      </c>
      <c r="G90" s="13" t="s">
        <v>112</v>
      </c>
      <c r="H90" s="33">
        <f>(24200.4*3+24351.6+24351.6+24351.6+25299+25299+25299+25626.6+25626.6+25626.6)/F90</f>
        <v>57.723945841392649</v>
      </c>
      <c r="I90" s="33">
        <f>F90*H90</f>
        <v>298432.8</v>
      </c>
      <c r="J90" s="13" t="s">
        <v>115</v>
      </c>
      <c r="L90" s="60"/>
    </row>
    <row r="91" spans="1:12" ht="46.5" customHeight="1" x14ac:dyDescent="0.25">
      <c r="A91" s="9"/>
      <c r="B91" s="8"/>
      <c r="C91" s="4"/>
      <c r="D91" s="15" t="s">
        <v>110</v>
      </c>
      <c r="E91" s="32"/>
      <c r="F91" s="13">
        <f>5962+5962</f>
        <v>11924</v>
      </c>
      <c r="G91" s="13" t="s">
        <v>30</v>
      </c>
      <c r="H91" s="33">
        <f>(544678.6+544678.6)/F91</f>
        <v>91.358369674605839</v>
      </c>
      <c r="I91" s="33">
        <f>F91*H91</f>
        <v>1089357.2</v>
      </c>
      <c r="J91" s="13" t="s">
        <v>117</v>
      </c>
      <c r="L91" s="60"/>
    </row>
    <row r="92" spans="1:12" ht="46.5" customHeight="1" x14ac:dyDescent="0.25">
      <c r="A92" s="9"/>
      <c r="B92" s="8"/>
      <c r="C92" s="4"/>
      <c r="D92" s="15" t="s">
        <v>111</v>
      </c>
      <c r="E92" s="42"/>
      <c r="F92" s="42">
        <f>420+420</f>
        <v>840</v>
      </c>
      <c r="G92" s="13" t="s">
        <v>30</v>
      </c>
      <c r="H92" s="45">
        <f>(38771+3878.2)/F92</f>
        <v>50.772857142857141</v>
      </c>
      <c r="I92" s="33">
        <f t="shared" ref="I92:I99" si="5">F92*H92</f>
        <v>42649.2</v>
      </c>
      <c r="J92" s="13" t="s">
        <v>117</v>
      </c>
      <c r="L92" s="60"/>
    </row>
    <row r="93" spans="1:12" ht="46.5" customHeight="1" x14ac:dyDescent="0.25">
      <c r="A93" s="9"/>
      <c r="B93" s="8"/>
      <c r="C93" s="4"/>
      <c r="D93" s="15" t="s">
        <v>155</v>
      </c>
      <c r="E93" s="42"/>
      <c r="F93" s="42">
        <f>5+1+2+1</f>
        <v>9</v>
      </c>
      <c r="G93" s="13" t="s">
        <v>31</v>
      </c>
      <c r="H93" s="45">
        <f>(7686.4+1662.6+3154+1532.6)/F93</f>
        <v>1559.5111111111112</v>
      </c>
      <c r="I93" s="33">
        <f t="shared" si="5"/>
        <v>14035.6</v>
      </c>
      <c r="J93" s="13" t="s">
        <v>115</v>
      </c>
      <c r="L93" s="60"/>
    </row>
    <row r="94" spans="1:12" ht="46.5" customHeight="1" x14ac:dyDescent="0.25">
      <c r="A94" s="9"/>
      <c r="B94" s="8"/>
      <c r="C94" s="4"/>
      <c r="D94" s="15" t="s">
        <v>169</v>
      </c>
      <c r="E94" s="42"/>
      <c r="F94" s="42">
        <f>1</f>
        <v>1</v>
      </c>
      <c r="G94" s="13" t="s">
        <v>31</v>
      </c>
      <c r="H94" s="42">
        <f>953.2/F94</f>
        <v>953.2</v>
      </c>
      <c r="I94" s="33">
        <f>F94*H94</f>
        <v>953.2</v>
      </c>
      <c r="J94" s="13" t="s">
        <v>117</v>
      </c>
      <c r="L94" s="60"/>
    </row>
    <row r="95" spans="1:12" ht="46.5" customHeight="1" x14ac:dyDescent="0.25">
      <c r="A95" s="9"/>
      <c r="B95" s="8"/>
      <c r="C95" s="4"/>
      <c r="D95" s="15" t="s">
        <v>170</v>
      </c>
      <c r="E95" s="42"/>
      <c r="F95" s="42">
        <f>1</f>
        <v>1</v>
      </c>
      <c r="G95" s="13" t="s">
        <v>31</v>
      </c>
      <c r="H95" s="42">
        <f>9247.6/F95</f>
        <v>9247.6</v>
      </c>
      <c r="I95" s="33">
        <f>F95*H95</f>
        <v>9247.6</v>
      </c>
      <c r="J95" s="13" t="s">
        <v>117</v>
      </c>
      <c r="L95" s="60"/>
    </row>
    <row r="96" spans="1:12" ht="46.5" customHeight="1" x14ac:dyDescent="0.25">
      <c r="A96" s="9"/>
      <c r="B96" s="8"/>
      <c r="C96" s="4"/>
      <c r="D96" s="15" t="s">
        <v>154</v>
      </c>
      <c r="E96" s="42"/>
      <c r="F96" s="42">
        <f>5</f>
        <v>5</v>
      </c>
      <c r="G96" s="13" t="s">
        <v>31</v>
      </c>
      <c r="H96" s="42">
        <f>7508.6/F96</f>
        <v>1501.72</v>
      </c>
      <c r="I96" s="33">
        <f t="shared" si="5"/>
        <v>7508.6</v>
      </c>
      <c r="J96" s="13" t="s">
        <v>117</v>
      </c>
      <c r="L96" s="60"/>
    </row>
    <row r="97" spans="1:12" ht="46.5" customHeight="1" x14ac:dyDescent="0.25">
      <c r="A97" s="9"/>
      <c r="B97" s="8"/>
      <c r="C97" s="4"/>
      <c r="D97" s="15" t="s">
        <v>154</v>
      </c>
      <c r="E97" s="42"/>
      <c r="F97" s="42">
        <f>1</f>
        <v>1</v>
      </c>
      <c r="G97" s="13" t="s">
        <v>31</v>
      </c>
      <c r="H97" s="42">
        <f>1580.2/F97</f>
        <v>1580.2</v>
      </c>
      <c r="I97" s="59">
        <f t="shared" ref="I97" si="6">F97*H97</f>
        <v>1580.2</v>
      </c>
      <c r="J97" s="13" t="s">
        <v>117</v>
      </c>
      <c r="L97" s="60"/>
    </row>
    <row r="98" spans="1:12" ht="46.5" customHeight="1" x14ac:dyDescent="0.25">
      <c r="A98" s="9"/>
      <c r="B98" s="8"/>
      <c r="C98" s="4"/>
      <c r="D98" s="15" t="s">
        <v>185</v>
      </c>
      <c r="E98" s="42"/>
      <c r="F98" s="42">
        <f>5</f>
        <v>5</v>
      </c>
      <c r="G98" s="13" t="s">
        <v>31</v>
      </c>
      <c r="H98" s="42">
        <f>28387.2/F98</f>
        <v>5677.4400000000005</v>
      </c>
      <c r="I98" s="33">
        <f t="shared" si="5"/>
        <v>28387.200000000004</v>
      </c>
      <c r="J98" s="13" t="s">
        <v>117</v>
      </c>
      <c r="L98" s="60"/>
    </row>
    <row r="99" spans="1:12" ht="46.5" customHeight="1" x14ac:dyDescent="0.25">
      <c r="A99" s="9"/>
      <c r="B99" s="8"/>
      <c r="C99" s="4"/>
      <c r="D99" s="15" t="s">
        <v>156</v>
      </c>
      <c r="E99" s="42"/>
      <c r="F99" s="42">
        <f>6</f>
        <v>6</v>
      </c>
      <c r="G99" s="13" t="s">
        <v>31</v>
      </c>
      <c r="H99" s="45">
        <f>17247.8/F99</f>
        <v>2874.6333333333332</v>
      </c>
      <c r="I99" s="33">
        <f t="shared" si="5"/>
        <v>17247.8</v>
      </c>
      <c r="J99" s="13" t="s">
        <v>117</v>
      </c>
      <c r="L99" s="60"/>
    </row>
    <row r="100" spans="1:12" ht="46.5" customHeight="1" x14ac:dyDescent="0.25">
      <c r="A100" s="9"/>
      <c r="B100" s="8"/>
      <c r="C100" s="4"/>
      <c r="D100" s="15" t="s">
        <v>157</v>
      </c>
      <c r="E100" s="42"/>
      <c r="F100" s="42">
        <f>2</f>
        <v>2</v>
      </c>
      <c r="G100" s="13" t="s">
        <v>31</v>
      </c>
      <c r="H100" s="45">
        <f>4869.6/F100</f>
        <v>2434.8000000000002</v>
      </c>
      <c r="I100" s="42">
        <f t="shared" ref="I100" si="7">F100*H100</f>
        <v>4869.6000000000004</v>
      </c>
      <c r="J100" s="13" t="s">
        <v>117</v>
      </c>
      <c r="L100" s="60"/>
    </row>
    <row r="101" spans="1:12" ht="46.5" customHeight="1" x14ac:dyDescent="0.25">
      <c r="A101" s="9"/>
      <c r="B101" s="8"/>
      <c r="C101" s="4"/>
      <c r="D101" s="15" t="s">
        <v>130</v>
      </c>
      <c r="E101" s="42"/>
      <c r="F101" s="42"/>
      <c r="G101" s="13" t="s">
        <v>31</v>
      </c>
      <c r="H101" s="42"/>
      <c r="I101" s="42"/>
      <c r="J101" s="13"/>
      <c r="L101" s="60"/>
    </row>
    <row r="102" spans="1:12" ht="46.5" customHeight="1" x14ac:dyDescent="0.25">
      <c r="A102" s="9"/>
      <c r="B102" s="8"/>
      <c r="C102" s="4"/>
      <c r="D102" s="15" t="s">
        <v>181</v>
      </c>
      <c r="E102" s="42"/>
      <c r="F102" s="42">
        <f>5.5+16+6</f>
        <v>27.5</v>
      </c>
      <c r="G102" s="13" t="s">
        <v>30</v>
      </c>
      <c r="H102" s="45">
        <f>(6084.4+18364+7571.4)/F102</f>
        <v>1164.3563636363638</v>
      </c>
      <c r="I102" s="55">
        <f t="shared" ref="I102" si="8">F102*H102</f>
        <v>32019.800000000003</v>
      </c>
      <c r="J102" s="13" t="s">
        <v>115</v>
      </c>
      <c r="L102" s="60"/>
    </row>
    <row r="103" spans="1:12" ht="46.5" customHeight="1" x14ac:dyDescent="0.25">
      <c r="A103" s="9"/>
      <c r="B103" s="8"/>
      <c r="C103" s="4"/>
      <c r="D103" s="15" t="s">
        <v>171</v>
      </c>
      <c r="E103" s="42"/>
      <c r="F103" s="42">
        <f>2.5</f>
        <v>2.5</v>
      </c>
      <c r="G103" s="13" t="s">
        <v>30</v>
      </c>
      <c r="H103" s="42">
        <f>3189.4/F103</f>
        <v>1275.76</v>
      </c>
      <c r="I103" s="55">
        <f t="shared" ref="I103" si="9">F103*H103</f>
        <v>3189.4</v>
      </c>
      <c r="J103" s="13" t="s">
        <v>115</v>
      </c>
      <c r="L103" s="60"/>
    </row>
    <row r="104" spans="1:12" ht="46.5" customHeight="1" x14ac:dyDescent="0.25">
      <c r="A104" s="9"/>
      <c r="B104" s="8"/>
      <c r="C104" s="4"/>
      <c r="D104" s="15" t="s">
        <v>225</v>
      </c>
      <c r="E104" s="42"/>
      <c r="F104" s="42">
        <f>2</f>
        <v>2</v>
      </c>
      <c r="G104" s="13" t="s">
        <v>145</v>
      </c>
      <c r="H104" s="42">
        <f>708.6/F104</f>
        <v>354.3</v>
      </c>
      <c r="I104" s="55">
        <f t="shared" ref="I104:I106" si="10">F104*H104</f>
        <v>708.6</v>
      </c>
      <c r="J104" s="13" t="s">
        <v>147</v>
      </c>
      <c r="L104" s="60"/>
    </row>
    <row r="105" spans="1:12" ht="66.75" customHeight="1" x14ac:dyDescent="0.25">
      <c r="A105" s="9"/>
      <c r="B105" s="8"/>
      <c r="C105" s="4"/>
      <c r="D105" s="15" t="s">
        <v>226</v>
      </c>
      <c r="E105" s="42"/>
      <c r="F105" s="42">
        <v>3</v>
      </c>
      <c r="G105" s="13" t="s">
        <v>31</v>
      </c>
      <c r="H105" s="42">
        <f>71.4/F105</f>
        <v>23.8</v>
      </c>
      <c r="I105" s="55">
        <f t="shared" si="10"/>
        <v>71.400000000000006</v>
      </c>
      <c r="J105" s="13" t="s">
        <v>147</v>
      </c>
      <c r="L105" s="60"/>
    </row>
    <row r="106" spans="1:12" ht="46.5" customHeight="1" x14ac:dyDescent="0.25">
      <c r="A106" s="9"/>
      <c r="B106" s="8"/>
      <c r="C106" s="4"/>
      <c r="D106" s="15" t="s">
        <v>227</v>
      </c>
      <c r="E106" s="42"/>
      <c r="F106" s="42">
        <v>2</v>
      </c>
      <c r="G106" s="13" t="s">
        <v>145</v>
      </c>
      <c r="H106" s="42">
        <f>773.6/F106</f>
        <v>386.8</v>
      </c>
      <c r="I106" s="55">
        <f t="shared" si="10"/>
        <v>773.6</v>
      </c>
      <c r="J106" s="13" t="s">
        <v>147</v>
      </c>
      <c r="L106" s="60"/>
    </row>
    <row r="107" spans="1:12" ht="46.5" customHeight="1" x14ac:dyDescent="0.25">
      <c r="A107" s="9"/>
      <c r="B107" s="8"/>
      <c r="C107" s="4"/>
      <c r="D107" s="15" t="s">
        <v>194</v>
      </c>
      <c r="E107" s="31"/>
      <c r="F107" s="31">
        <f>1+2+3</f>
        <v>6</v>
      </c>
      <c r="G107" s="13" t="s">
        <v>150</v>
      </c>
      <c r="H107" s="31">
        <f>(547.6+1106.8+1661.8)/F107</f>
        <v>552.69999999999993</v>
      </c>
      <c r="I107" s="57">
        <f>F107*H107</f>
        <v>3316.2</v>
      </c>
      <c r="J107" s="13" t="s">
        <v>147</v>
      </c>
      <c r="L107" s="60"/>
    </row>
    <row r="108" spans="1:12" ht="46.5" customHeight="1" x14ac:dyDescent="0.25">
      <c r="A108" s="9"/>
      <c r="B108" s="8"/>
      <c r="C108" s="4"/>
      <c r="D108" s="15" t="s">
        <v>215</v>
      </c>
      <c r="E108" s="32"/>
      <c r="F108" s="13">
        <f>3</f>
        <v>3</v>
      </c>
      <c r="G108" s="13" t="s">
        <v>31</v>
      </c>
      <c r="H108" s="33">
        <f>62948/F108</f>
        <v>20982.666666666668</v>
      </c>
      <c r="I108" s="58">
        <f t="shared" ref="I108:I112" si="11">F108*H108</f>
        <v>62948</v>
      </c>
      <c r="J108" s="13" t="s">
        <v>117</v>
      </c>
      <c r="L108" s="60"/>
    </row>
    <row r="109" spans="1:12" ht="46.5" customHeight="1" x14ac:dyDescent="0.25">
      <c r="A109" s="9"/>
      <c r="B109" s="8"/>
      <c r="C109" s="4"/>
      <c r="D109" s="15" t="s">
        <v>216</v>
      </c>
      <c r="E109" s="32"/>
      <c r="F109" s="31">
        <f>3</f>
        <v>3</v>
      </c>
      <c r="G109" s="13" t="s">
        <v>31</v>
      </c>
      <c r="H109" s="31">
        <f>22138.8/F109</f>
        <v>7379.5999999999995</v>
      </c>
      <c r="I109" s="57">
        <f>F109*H109</f>
        <v>22138.799999999999</v>
      </c>
      <c r="J109" s="13" t="s">
        <v>117</v>
      </c>
      <c r="L109" s="60"/>
    </row>
    <row r="110" spans="1:12" ht="46.5" customHeight="1" x14ac:dyDescent="0.25">
      <c r="A110" s="9"/>
      <c r="B110" s="8"/>
      <c r="C110" s="4"/>
      <c r="D110" s="15" t="s">
        <v>232</v>
      </c>
      <c r="E110" s="42"/>
      <c r="F110" s="42">
        <f>1</f>
        <v>1</v>
      </c>
      <c r="G110" s="13" t="s">
        <v>31</v>
      </c>
      <c r="H110" s="42">
        <f>1452.8/F110</f>
        <v>1452.8</v>
      </c>
      <c r="I110" s="55">
        <f>F110*H110</f>
        <v>1452.8</v>
      </c>
      <c r="J110" s="13" t="s">
        <v>117</v>
      </c>
      <c r="L110" s="60"/>
    </row>
    <row r="111" spans="1:12" ht="46.5" customHeight="1" x14ac:dyDescent="0.25">
      <c r="A111" s="9"/>
      <c r="B111" s="8"/>
      <c r="C111" s="4"/>
      <c r="D111" s="15" t="s">
        <v>165</v>
      </c>
      <c r="E111" s="31"/>
      <c r="F111" s="31">
        <f>2+5+2+8+2</f>
        <v>19</v>
      </c>
      <c r="G111" s="13" t="s">
        <v>151</v>
      </c>
      <c r="H111" s="69">
        <f>(13979.2+34947.2+14632.4+58536.4+14812.4)/F111</f>
        <v>7205.6631578947372</v>
      </c>
      <c r="I111" s="57">
        <f t="shared" ref="I111" si="12">F111*H111</f>
        <v>136907.6</v>
      </c>
      <c r="J111" s="13" t="s">
        <v>119</v>
      </c>
      <c r="L111" s="60"/>
    </row>
    <row r="112" spans="1:12" ht="46.5" customHeight="1" x14ac:dyDescent="0.25">
      <c r="A112" s="9"/>
      <c r="B112" s="8"/>
      <c r="C112" s="4"/>
      <c r="D112" s="15" t="s">
        <v>174</v>
      </c>
      <c r="E112" s="31"/>
      <c r="F112" s="31">
        <f>1+1+2+3</f>
        <v>7</v>
      </c>
      <c r="G112" s="13" t="s">
        <v>151</v>
      </c>
      <c r="H112" s="71">
        <f>(14351.2+14861.6+22217.6)/F112</f>
        <v>7347.2</v>
      </c>
      <c r="I112" s="57">
        <f t="shared" si="11"/>
        <v>51430.400000000001</v>
      </c>
      <c r="J112" s="13" t="s">
        <v>147</v>
      </c>
      <c r="L112" s="60"/>
    </row>
    <row r="113" spans="1:12" ht="31.5" x14ac:dyDescent="0.25">
      <c r="A113" s="9" t="s">
        <v>83</v>
      </c>
      <c r="B113" s="8"/>
      <c r="C113" s="4"/>
      <c r="D113" s="15" t="s">
        <v>260</v>
      </c>
      <c r="E113" s="42"/>
      <c r="F113" s="42">
        <f>4+7+2+5+1+8</f>
        <v>27</v>
      </c>
      <c r="G113" s="13" t="s">
        <v>54</v>
      </c>
      <c r="H113" s="45">
        <f>(5317.8+9529.8+2566.8+6043.4+3441.6+9762.4)/F113</f>
        <v>1357.8444444444442</v>
      </c>
      <c r="I113" s="55">
        <f>F113*H113</f>
        <v>36661.799999999996</v>
      </c>
      <c r="J113" s="13" t="s">
        <v>147</v>
      </c>
      <c r="L113" s="60"/>
    </row>
    <row r="114" spans="1:12" ht="31.5" x14ac:dyDescent="0.25">
      <c r="A114" s="9"/>
      <c r="B114" s="8"/>
      <c r="C114" s="4"/>
      <c r="D114" s="15" t="s">
        <v>159</v>
      </c>
      <c r="E114" s="42"/>
      <c r="F114" s="42"/>
      <c r="G114" s="13" t="s">
        <v>54</v>
      </c>
      <c r="H114" s="42"/>
      <c r="I114" s="42" t="s">
        <v>137</v>
      </c>
      <c r="J114" s="13"/>
      <c r="L114" s="60"/>
    </row>
    <row r="115" spans="1:12" ht="18.75" x14ac:dyDescent="0.25">
      <c r="A115" s="9"/>
      <c r="B115" s="8"/>
      <c r="C115" s="4"/>
      <c r="D115" s="15" t="s">
        <v>211</v>
      </c>
      <c r="E115" s="42"/>
      <c r="F115" s="42">
        <f>1</f>
        <v>1</v>
      </c>
      <c r="G115" s="13" t="s">
        <v>31</v>
      </c>
      <c r="H115" s="42"/>
      <c r="I115" s="55">
        <f>F115*H115</f>
        <v>0</v>
      </c>
      <c r="J115" s="13" t="s">
        <v>147</v>
      </c>
      <c r="L115" s="60"/>
    </row>
    <row r="116" spans="1:12" ht="18.75" x14ac:dyDescent="0.25">
      <c r="A116" s="9"/>
      <c r="B116" s="8"/>
      <c r="C116" s="4"/>
      <c r="D116" s="15" t="s">
        <v>257</v>
      </c>
      <c r="E116" s="42"/>
      <c r="F116" s="42">
        <f>1</f>
        <v>1</v>
      </c>
      <c r="G116" s="13" t="s">
        <v>31</v>
      </c>
      <c r="H116" s="42">
        <f>3879.4/F116</f>
        <v>3879.4</v>
      </c>
      <c r="I116" s="55">
        <f t="shared" ref="I116" si="13">F116*H116</f>
        <v>3879.4</v>
      </c>
      <c r="J116" s="13" t="s">
        <v>119</v>
      </c>
      <c r="L116" s="60"/>
    </row>
    <row r="117" spans="1:12" ht="18.75" x14ac:dyDescent="0.25">
      <c r="A117" s="9"/>
      <c r="B117" s="8"/>
      <c r="C117" s="4"/>
      <c r="D117" s="15" t="s">
        <v>188</v>
      </c>
      <c r="E117" s="42"/>
      <c r="F117" s="42"/>
      <c r="G117" s="13" t="s">
        <v>31</v>
      </c>
      <c r="H117" s="42"/>
      <c r="I117" s="42"/>
      <c r="J117" s="13"/>
      <c r="L117" s="60"/>
    </row>
    <row r="118" spans="1:12" ht="31.5" x14ac:dyDescent="0.25">
      <c r="A118" s="9"/>
      <c r="B118" s="8"/>
      <c r="C118" s="4"/>
      <c r="D118" s="15" t="s">
        <v>172</v>
      </c>
      <c r="E118" s="42"/>
      <c r="F118" s="42">
        <f>1</f>
        <v>1</v>
      </c>
      <c r="G118" s="13" t="s">
        <v>31</v>
      </c>
      <c r="H118" s="42">
        <f>55106.2/F118</f>
        <v>55106.2</v>
      </c>
      <c r="I118" s="70">
        <f>F118*H118</f>
        <v>55106.2</v>
      </c>
      <c r="J118" s="13" t="s">
        <v>120</v>
      </c>
      <c r="L118" s="60"/>
    </row>
    <row r="119" spans="1:12" ht="18.75" x14ac:dyDescent="0.25">
      <c r="A119" s="9"/>
      <c r="B119" s="8"/>
      <c r="C119" s="4"/>
      <c r="D119" s="15" t="s">
        <v>160</v>
      </c>
      <c r="E119" s="42"/>
      <c r="F119" s="42">
        <f>2</f>
        <v>2</v>
      </c>
      <c r="G119" s="13" t="s">
        <v>161</v>
      </c>
      <c r="H119" s="42">
        <f>7047/F119</f>
        <v>3523.5</v>
      </c>
      <c r="I119" s="70">
        <f>F119*H119</f>
        <v>7047</v>
      </c>
      <c r="J119" s="13" t="s">
        <v>120</v>
      </c>
      <c r="L119" s="60"/>
    </row>
    <row r="120" spans="1:12" ht="18.75" x14ac:dyDescent="0.25">
      <c r="A120" s="9"/>
      <c r="B120" s="8"/>
      <c r="C120" s="4"/>
      <c r="D120" s="15" t="s">
        <v>160</v>
      </c>
      <c r="E120" s="42"/>
      <c r="F120" s="42"/>
      <c r="G120" s="13" t="s">
        <v>161</v>
      </c>
      <c r="H120" s="42"/>
      <c r="I120" s="42"/>
      <c r="J120" s="13"/>
      <c r="L120" s="60"/>
    </row>
    <row r="121" spans="1:12" ht="18.75" x14ac:dyDescent="0.25">
      <c r="A121" s="9" t="s">
        <v>20</v>
      </c>
      <c r="B121" s="8"/>
      <c r="C121" s="4"/>
      <c r="D121" s="15" t="s">
        <v>68</v>
      </c>
      <c r="E121" s="42"/>
      <c r="F121" s="42"/>
      <c r="G121" s="13" t="s">
        <v>30</v>
      </c>
      <c r="H121" s="42"/>
      <c r="I121" s="42" t="s">
        <v>137</v>
      </c>
      <c r="J121" s="13"/>
      <c r="L121" s="60"/>
    </row>
    <row r="122" spans="1:12" ht="31.5" x14ac:dyDescent="0.25">
      <c r="A122" s="9" t="s">
        <v>21</v>
      </c>
      <c r="B122" s="8"/>
      <c r="C122" s="4"/>
      <c r="D122" s="15" t="s">
        <v>70</v>
      </c>
      <c r="E122" s="42"/>
      <c r="F122" s="42">
        <f>1</f>
        <v>1</v>
      </c>
      <c r="G122" s="13" t="s">
        <v>142</v>
      </c>
      <c r="H122" s="42">
        <f>5686/F122</f>
        <v>5686</v>
      </c>
      <c r="I122" s="55">
        <f>F122*H122</f>
        <v>5686</v>
      </c>
      <c r="J122" s="13" t="s">
        <v>117</v>
      </c>
      <c r="L122" s="60"/>
    </row>
    <row r="123" spans="1:12" ht="18.75" x14ac:dyDescent="0.25">
      <c r="A123" s="47"/>
      <c r="B123" s="48"/>
      <c r="C123" s="22"/>
      <c r="D123" s="30"/>
      <c r="E123" s="46"/>
      <c r="F123" s="46"/>
      <c r="G123" s="31"/>
      <c r="H123" s="42"/>
      <c r="I123" s="45">
        <f>SUM(I90:I122)</f>
        <v>1937606.0000000002</v>
      </c>
      <c r="J123" s="13"/>
      <c r="L123" s="60"/>
    </row>
    <row r="124" spans="1:12" ht="18.75" x14ac:dyDescent="0.3">
      <c r="A124" s="76" t="s">
        <v>71</v>
      </c>
      <c r="B124" s="77"/>
      <c r="C124" s="77"/>
      <c r="D124" s="77"/>
      <c r="E124" s="77"/>
      <c r="F124" s="77"/>
      <c r="G124" s="78"/>
      <c r="H124" s="19"/>
      <c r="I124" s="5"/>
      <c r="J124" s="13"/>
      <c r="L124" s="60"/>
    </row>
    <row r="125" spans="1:12" ht="37.5" x14ac:dyDescent="0.25">
      <c r="A125" s="9" t="s">
        <v>92</v>
      </c>
      <c r="B125" s="8"/>
      <c r="C125" s="4"/>
      <c r="D125" s="4" t="s">
        <v>125</v>
      </c>
      <c r="E125" s="31"/>
      <c r="F125" s="13">
        <f>6+6+4+4+4+6+7+8+12+6+5+5</f>
        <v>73</v>
      </c>
      <c r="G125" s="13" t="s">
        <v>114</v>
      </c>
      <c r="H125" s="33">
        <f>(4212.2+4212.2+2808.4+2828+2828+4238.8+5138.2+5873.2+8806.4+4459.4+3718+3718)/F125/3</f>
        <v>241.28219178082193</v>
      </c>
      <c r="I125" s="33">
        <f>F125*H125</f>
        <v>17613.600000000002</v>
      </c>
      <c r="J125" s="13" t="s">
        <v>115</v>
      </c>
      <c r="L125" s="60"/>
    </row>
    <row r="126" spans="1:12" ht="31.5" x14ac:dyDescent="0.25">
      <c r="A126" s="9"/>
      <c r="B126" s="8"/>
      <c r="C126" s="4"/>
      <c r="D126" s="15" t="s">
        <v>174</v>
      </c>
      <c r="E126" s="31"/>
      <c r="F126" s="31">
        <f>4+3+6+8+3</f>
        <v>24</v>
      </c>
      <c r="G126" s="13" t="s">
        <v>151</v>
      </c>
      <c r="H126" s="69">
        <f>(28468+21529.6+44592.8+59455.6+22562)/F126</f>
        <v>7358.666666666667</v>
      </c>
      <c r="I126" s="57">
        <f>F126*H126</f>
        <v>176608</v>
      </c>
      <c r="J126" s="13" t="s">
        <v>147</v>
      </c>
      <c r="L126" s="60"/>
    </row>
    <row r="127" spans="1:12" ht="31.5" x14ac:dyDescent="0.25">
      <c r="A127" s="9"/>
      <c r="B127" s="8"/>
      <c r="C127" s="4"/>
      <c r="D127" s="15" t="s">
        <v>235</v>
      </c>
      <c r="E127" s="42"/>
      <c r="F127" s="42">
        <f>4</f>
        <v>4</v>
      </c>
      <c r="G127" s="13" t="s">
        <v>30</v>
      </c>
      <c r="H127" s="42">
        <f>10521.2/F127</f>
        <v>2630.3</v>
      </c>
      <c r="I127" s="55">
        <f>F127*H127</f>
        <v>10521.2</v>
      </c>
      <c r="J127" s="13" t="s">
        <v>119</v>
      </c>
      <c r="L127" s="60"/>
    </row>
    <row r="128" spans="1:12" ht="31.5" x14ac:dyDescent="0.25">
      <c r="A128" s="9"/>
      <c r="B128" s="8"/>
      <c r="C128" s="4"/>
      <c r="D128" s="15" t="s">
        <v>166</v>
      </c>
      <c r="E128" s="31"/>
      <c r="F128" s="64">
        <f>2+1</f>
        <v>3</v>
      </c>
      <c r="G128" s="13" t="s">
        <v>151</v>
      </c>
      <c r="H128" s="67">
        <f>(13921.6+7000)/F128</f>
        <v>6973.8666666666659</v>
      </c>
      <c r="I128" s="57">
        <f t="shared" ref="I128" si="14">F128*H128</f>
        <v>20921.599999999999</v>
      </c>
      <c r="J128" s="13" t="s">
        <v>117</v>
      </c>
      <c r="K128" s="63"/>
      <c r="L128" s="60"/>
    </row>
    <row r="129" spans="1:12" ht="18.75" x14ac:dyDescent="0.25">
      <c r="A129" s="9"/>
      <c r="B129" s="8"/>
      <c r="C129" s="4"/>
      <c r="D129" s="15" t="s">
        <v>164</v>
      </c>
      <c r="E129" s="31"/>
      <c r="F129" s="31">
        <v>1</v>
      </c>
      <c r="G129" s="13" t="s">
        <v>150</v>
      </c>
      <c r="H129" s="31">
        <f>977.4/F129</f>
        <v>977.4</v>
      </c>
      <c r="I129" s="57">
        <f>F129*H129</f>
        <v>977.4</v>
      </c>
      <c r="J129" s="13" t="s">
        <v>147</v>
      </c>
      <c r="L129" s="60"/>
    </row>
    <row r="130" spans="1:12" ht="31.5" x14ac:dyDescent="0.25">
      <c r="A130" s="9"/>
      <c r="B130" s="8"/>
      <c r="C130" s="4"/>
      <c r="D130" s="15" t="s">
        <v>155</v>
      </c>
      <c r="E130" s="42"/>
      <c r="F130" s="42">
        <f>2+2+2</f>
        <v>6</v>
      </c>
      <c r="G130" s="13" t="s">
        <v>31</v>
      </c>
      <c r="H130" s="45">
        <f>(2954+3609.6+3046)/F130</f>
        <v>1601.6000000000001</v>
      </c>
      <c r="I130" s="33">
        <f t="shared" ref="I130" si="15">F130*H130</f>
        <v>9609.6</v>
      </c>
      <c r="J130" s="13" t="s">
        <v>212</v>
      </c>
      <c r="L130" s="60"/>
    </row>
    <row r="131" spans="1:12" ht="18.75" x14ac:dyDescent="0.25">
      <c r="A131" s="9"/>
      <c r="B131" s="8"/>
      <c r="C131" s="4"/>
      <c r="D131" s="15" t="s">
        <v>160</v>
      </c>
      <c r="E131" s="31"/>
      <c r="F131" s="31">
        <f>0.5+1.5</f>
        <v>2</v>
      </c>
      <c r="G131" s="13" t="s">
        <v>145</v>
      </c>
      <c r="H131" s="31">
        <f>(1762.4+5503)/F131</f>
        <v>3632.7</v>
      </c>
      <c r="I131" s="57">
        <f>F131*H131</f>
        <v>7265.4</v>
      </c>
      <c r="J131" s="13" t="s">
        <v>117</v>
      </c>
      <c r="L131" s="60"/>
    </row>
    <row r="132" spans="1:12" ht="18.75" x14ac:dyDescent="0.25">
      <c r="A132" s="9"/>
      <c r="B132" s="8"/>
      <c r="C132" s="4"/>
      <c r="D132" s="15" t="s">
        <v>183</v>
      </c>
      <c r="E132" s="42" t="s">
        <v>137</v>
      </c>
      <c r="F132" s="42" t="s">
        <v>137</v>
      </c>
      <c r="G132" s="13" t="s">
        <v>31</v>
      </c>
      <c r="H132" s="42"/>
      <c r="I132" s="42" t="s">
        <v>137</v>
      </c>
      <c r="J132" s="13"/>
      <c r="L132" s="60"/>
    </row>
    <row r="133" spans="1:12" ht="18.75" x14ac:dyDescent="0.25">
      <c r="A133" s="9" t="s">
        <v>83</v>
      </c>
      <c r="B133" s="8"/>
      <c r="C133" s="4"/>
      <c r="D133" s="15" t="s">
        <v>69</v>
      </c>
      <c r="E133" s="42" t="s">
        <v>137</v>
      </c>
      <c r="F133" s="42" t="s">
        <v>137</v>
      </c>
      <c r="G133" s="13" t="s">
        <v>54</v>
      </c>
      <c r="H133" s="42"/>
      <c r="I133" s="42" t="s">
        <v>137</v>
      </c>
      <c r="J133" s="13"/>
      <c r="L133" s="60"/>
    </row>
    <row r="134" spans="1:12" ht="31.5" x14ac:dyDescent="0.25">
      <c r="A134" s="9"/>
      <c r="B134" s="8"/>
      <c r="C134" s="4"/>
      <c r="D134" s="15" t="s">
        <v>240</v>
      </c>
      <c r="E134" s="42"/>
      <c r="F134" s="64">
        <f>1+2+3+6+8+3+1+3</f>
        <v>27</v>
      </c>
      <c r="G134" s="13" t="s">
        <v>31</v>
      </c>
      <c r="H134" s="65">
        <f>(1525.2+3052.6+4602.6+1175.2+10597.2+14131.6+1210+3533.4+5345)/F134</f>
        <v>1673.0666666666668</v>
      </c>
      <c r="I134" s="55">
        <f t="shared" ref="I134" si="16">F134*H134</f>
        <v>45172.800000000003</v>
      </c>
      <c r="J134" s="13" t="s">
        <v>115</v>
      </c>
      <c r="K134" s="63"/>
      <c r="L134" s="60"/>
    </row>
    <row r="135" spans="1:12" ht="31.5" x14ac:dyDescent="0.25">
      <c r="A135" s="9" t="s">
        <v>21</v>
      </c>
      <c r="B135" s="8"/>
      <c r="C135" s="4"/>
      <c r="D135" s="15" t="s">
        <v>70</v>
      </c>
      <c r="E135" s="42"/>
      <c r="F135" s="42">
        <v>1</v>
      </c>
      <c r="G135" s="13" t="s">
        <v>142</v>
      </c>
      <c r="H135" s="42">
        <f>5686/F135</f>
        <v>5686</v>
      </c>
      <c r="I135" s="55">
        <f>F135*H135</f>
        <v>5686</v>
      </c>
      <c r="J135" s="13" t="s">
        <v>117</v>
      </c>
      <c r="L135" s="60"/>
    </row>
    <row r="136" spans="1:12" ht="18.75" x14ac:dyDescent="0.25">
      <c r="A136" s="47"/>
      <c r="B136" s="48"/>
      <c r="C136" s="22"/>
      <c r="D136" s="30"/>
      <c r="E136" s="46"/>
      <c r="F136" s="46"/>
      <c r="G136" s="31"/>
      <c r="H136" s="42"/>
      <c r="I136" s="45">
        <f>SUM(I125:I135)</f>
        <v>294375.60000000003</v>
      </c>
      <c r="J136" s="13"/>
      <c r="L136" s="60"/>
    </row>
    <row r="137" spans="1:12" ht="18.75" x14ac:dyDescent="0.3">
      <c r="A137" s="76" t="s">
        <v>72</v>
      </c>
      <c r="B137" s="77"/>
      <c r="C137" s="77"/>
      <c r="D137" s="77"/>
      <c r="E137" s="77"/>
      <c r="F137" s="77"/>
      <c r="G137" s="78"/>
      <c r="H137" s="13"/>
      <c r="I137" s="5"/>
      <c r="J137" s="13"/>
      <c r="L137" s="60"/>
    </row>
    <row r="138" spans="1:12" ht="37.5" x14ac:dyDescent="0.25">
      <c r="A138" s="9" t="s">
        <v>92</v>
      </c>
      <c r="B138" s="8"/>
      <c r="C138" s="4"/>
      <c r="D138" s="4" t="s">
        <v>126</v>
      </c>
      <c r="E138" s="31"/>
      <c r="F138" s="13">
        <f>6+6+4+4+4+6+7+8+12+6+5+5</f>
        <v>73</v>
      </c>
      <c r="G138" s="13" t="s">
        <v>114</v>
      </c>
      <c r="H138" s="33">
        <f>(4212.2+4212.2+2808.4+2828+2828+4238.8+5138.2+5873.2+8806.4+4459.4+3718+3718)/F138/3</f>
        <v>241.28219178082193</v>
      </c>
      <c r="I138" s="33">
        <f>F138*H138</f>
        <v>17613.600000000002</v>
      </c>
      <c r="J138" s="13" t="s">
        <v>115</v>
      </c>
      <c r="L138" s="60"/>
    </row>
    <row r="139" spans="1:12" ht="47.25" x14ac:dyDescent="0.25">
      <c r="A139" s="9"/>
      <c r="B139" s="8"/>
      <c r="C139" s="4"/>
      <c r="D139" s="15" t="s">
        <v>167</v>
      </c>
      <c r="E139" s="42" t="s">
        <v>137</v>
      </c>
      <c r="F139" s="42">
        <f>0.5</f>
        <v>0.5</v>
      </c>
      <c r="G139" s="13" t="s">
        <v>30</v>
      </c>
      <c r="H139" s="42">
        <f>1507.2/F139</f>
        <v>3014.4</v>
      </c>
      <c r="I139" s="55">
        <f>F139*H139</f>
        <v>1507.2</v>
      </c>
      <c r="J139" s="13" t="s">
        <v>147</v>
      </c>
      <c r="L139" s="60"/>
    </row>
    <row r="140" spans="1:12" ht="31.5" x14ac:dyDescent="0.25">
      <c r="A140" s="9"/>
      <c r="B140" s="8"/>
      <c r="C140" s="4"/>
      <c r="D140" s="15" t="s">
        <v>182</v>
      </c>
      <c r="E140" s="42"/>
      <c r="F140" s="42">
        <f>1</f>
        <v>1</v>
      </c>
      <c r="G140" s="13" t="s">
        <v>30</v>
      </c>
      <c r="H140" s="42">
        <f>1357.6/F140</f>
        <v>1357.6</v>
      </c>
      <c r="I140" s="70">
        <f>F140*H140</f>
        <v>1357.6</v>
      </c>
      <c r="J140" s="13"/>
      <c r="L140" s="60"/>
    </row>
    <row r="141" spans="1:12" ht="31.5" x14ac:dyDescent="0.25">
      <c r="A141" s="9"/>
      <c r="B141" s="8"/>
      <c r="C141" s="4"/>
      <c r="D141" s="15" t="s">
        <v>187</v>
      </c>
      <c r="E141" s="42"/>
      <c r="F141" s="42"/>
      <c r="G141" s="13" t="s">
        <v>30</v>
      </c>
      <c r="H141" s="42"/>
      <c r="I141" s="42"/>
      <c r="J141" s="13"/>
      <c r="L141" s="60"/>
    </row>
    <row r="142" spans="1:12" ht="31.5" x14ac:dyDescent="0.25">
      <c r="A142" s="9"/>
      <c r="B142" s="8"/>
      <c r="C142" s="4"/>
      <c r="D142" s="15" t="s">
        <v>166</v>
      </c>
      <c r="E142" s="42"/>
      <c r="F142" s="42">
        <f>1+1</f>
        <v>2</v>
      </c>
      <c r="G142" s="13" t="s">
        <v>151</v>
      </c>
      <c r="H142" s="61">
        <f>(6962.2+7379.6)/F142</f>
        <v>7170.9</v>
      </c>
      <c r="I142" s="55">
        <f>F142*H142</f>
        <v>14341.8</v>
      </c>
      <c r="J142" s="13" t="s">
        <v>119</v>
      </c>
      <c r="L142" s="60"/>
    </row>
    <row r="143" spans="1:12" ht="31.5" x14ac:dyDescent="0.25">
      <c r="A143" s="9"/>
      <c r="B143" s="8"/>
      <c r="C143" s="4"/>
      <c r="D143" s="15" t="s">
        <v>168</v>
      </c>
      <c r="E143" s="42"/>
      <c r="F143" s="42"/>
      <c r="G143" s="13" t="s">
        <v>30</v>
      </c>
      <c r="H143" s="42"/>
      <c r="I143" s="42" t="s">
        <v>137</v>
      </c>
      <c r="J143" s="13"/>
      <c r="L143" s="60"/>
    </row>
    <row r="144" spans="1:12" ht="31.5" x14ac:dyDescent="0.25">
      <c r="A144" s="9"/>
      <c r="B144" s="8"/>
      <c r="C144" s="4"/>
      <c r="D144" s="15" t="s">
        <v>174</v>
      </c>
      <c r="E144" s="42"/>
      <c r="F144" s="42">
        <f>3</f>
        <v>3</v>
      </c>
      <c r="G144" s="13" t="s">
        <v>151</v>
      </c>
      <c r="H144" s="42"/>
      <c r="I144" s="55">
        <f>F144*H144</f>
        <v>0</v>
      </c>
      <c r="J144" s="13" t="s">
        <v>117</v>
      </c>
      <c r="K144" s="63"/>
      <c r="L144" s="60"/>
    </row>
    <row r="145" spans="1:12" ht="18.75" x14ac:dyDescent="0.25">
      <c r="A145" s="9"/>
      <c r="B145" s="8"/>
      <c r="C145" s="4"/>
      <c r="D145" s="15" t="s">
        <v>194</v>
      </c>
      <c r="E145" s="31"/>
      <c r="F145" s="31"/>
      <c r="G145" s="13" t="s">
        <v>150</v>
      </c>
      <c r="H145" s="31"/>
      <c r="I145" s="31"/>
      <c r="J145" s="13"/>
      <c r="L145" s="60"/>
    </row>
    <row r="146" spans="1:12" ht="18.75" x14ac:dyDescent="0.25">
      <c r="A146" s="9"/>
      <c r="B146" s="8"/>
      <c r="C146" s="4"/>
      <c r="D146" s="15" t="s">
        <v>164</v>
      </c>
      <c r="E146" s="31"/>
      <c r="F146" s="31"/>
      <c r="G146" s="13" t="s">
        <v>150</v>
      </c>
      <c r="H146" s="31"/>
      <c r="I146" s="31"/>
      <c r="J146" s="13"/>
      <c r="L146" s="60"/>
    </row>
    <row r="147" spans="1:12" ht="18.75" x14ac:dyDescent="0.25">
      <c r="A147" s="9" t="s">
        <v>83</v>
      </c>
      <c r="B147" s="8"/>
      <c r="C147" s="4"/>
      <c r="D147" s="15" t="s">
        <v>69</v>
      </c>
      <c r="E147" s="42" t="s">
        <v>137</v>
      </c>
      <c r="F147" s="42" t="s">
        <v>137</v>
      </c>
      <c r="G147" s="14" t="s">
        <v>54</v>
      </c>
      <c r="H147" s="42"/>
      <c r="I147" s="42" t="s">
        <v>137</v>
      </c>
      <c r="J147" s="13"/>
      <c r="L147" s="60"/>
    </row>
    <row r="148" spans="1:12" ht="18.75" x14ac:dyDescent="0.25">
      <c r="A148" s="9"/>
      <c r="B148" s="8"/>
      <c r="C148" s="4"/>
      <c r="D148" s="15" t="s">
        <v>219</v>
      </c>
      <c r="E148" s="42"/>
      <c r="F148" s="42">
        <f>1+1</f>
        <v>2</v>
      </c>
      <c r="G148" s="13" t="s">
        <v>31</v>
      </c>
      <c r="H148" s="42">
        <f>(1136+1221)/F148</f>
        <v>1178.5</v>
      </c>
      <c r="I148" s="55">
        <f t="shared" ref="I148:I149" si="17">F148*H148</f>
        <v>2357</v>
      </c>
      <c r="J148" s="13" t="s">
        <v>117</v>
      </c>
      <c r="L148" s="60"/>
    </row>
    <row r="149" spans="1:12" ht="18.75" x14ac:dyDescent="0.25">
      <c r="A149" s="9"/>
      <c r="B149" s="8"/>
      <c r="C149" s="4"/>
      <c r="D149" s="15" t="s">
        <v>157</v>
      </c>
      <c r="E149" s="42"/>
      <c r="F149" s="42">
        <v>1</v>
      </c>
      <c r="G149" s="13" t="s">
        <v>31</v>
      </c>
      <c r="H149" s="45">
        <f>2435.4/F149</f>
        <v>2435.4</v>
      </c>
      <c r="I149" s="61">
        <f t="shared" si="17"/>
        <v>2435.4</v>
      </c>
      <c r="J149" s="13" t="s">
        <v>117</v>
      </c>
      <c r="K149" s="63"/>
      <c r="L149" s="60"/>
    </row>
    <row r="150" spans="1:12" ht="18.75" x14ac:dyDescent="0.25">
      <c r="A150" s="9"/>
      <c r="B150" s="8"/>
      <c r="C150" s="4"/>
      <c r="D150" s="15" t="s">
        <v>173</v>
      </c>
      <c r="E150" s="42" t="s">
        <v>137</v>
      </c>
      <c r="F150" s="42" t="s">
        <v>137</v>
      </c>
      <c r="G150" s="14" t="s">
        <v>31</v>
      </c>
      <c r="H150" s="42"/>
      <c r="I150" s="42" t="s">
        <v>137</v>
      </c>
      <c r="J150" s="13"/>
      <c r="L150" s="60"/>
    </row>
    <row r="151" spans="1:12" ht="18.75" x14ac:dyDescent="0.25">
      <c r="A151" s="9"/>
      <c r="B151" s="8"/>
      <c r="C151" s="4"/>
      <c r="D151" s="15" t="s">
        <v>222</v>
      </c>
      <c r="E151" s="42" t="s">
        <v>137</v>
      </c>
      <c r="F151" s="42">
        <v>1</v>
      </c>
      <c r="G151" s="13" t="s">
        <v>31</v>
      </c>
      <c r="H151" s="66">
        <f>1225.2/F151</f>
        <v>1225.2</v>
      </c>
      <c r="I151" s="55">
        <f>F151*H151</f>
        <v>1225.2</v>
      </c>
      <c r="J151" s="13" t="s">
        <v>119</v>
      </c>
      <c r="L151" s="60"/>
    </row>
    <row r="152" spans="1:12" ht="31.5" x14ac:dyDescent="0.25">
      <c r="A152" s="9" t="s">
        <v>21</v>
      </c>
      <c r="B152" s="8"/>
      <c r="C152" s="4"/>
      <c r="D152" s="15" t="s">
        <v>70</v>
      </c>
      <c r="E152" s="42" t="s">
        <v>137</v>
      </c>
      <c r="F152" s="42" t="s">
        <v>137</v>
      </c>
      <c r="G152" s="14" t="s">
        <v>54</v>
      </c>
      <c r="H152" s="42"/>
      <c r="I152" s="42" t="s">
        <v>137</v>
      </c>
      <c r="J152" s="13"/>
      <c r="L152" s="60"/>
    </row>
    <row r="153" spans="1:12" ht="18.75" x14ac:dyDescent="0.25">
      <c r="A153" s="47"/>
      <c r="B153" s="48"/>
      <c r="C153" s="22"/>
      <c r="D153" s="30"/>
      <c r="E153" s="46"/>
      <c r="F153" s="46"/>
      <c r="G153" s="12"/>
      <c r="H153" s="42"/>
      <c r="I153" s="45">
        <f>SUM(I138:I152)</f>
        <v>40837.799999999996</v>
      </c>
      <c r="J153" s="13"/>
      <c r="L153" s="60"/>
    </row>
    <row r="154" spans="1:12" ht="18.75" x14ac:dyDescent="0.3">
      <c r="A154" s="76" t="s">
        <v>73</v>
      </c>
      <c r="B154" s="77"/>
      <c r="C154" s="77"/>
      <c r="D154" s="77"/>
      <c r="E154" s="77"/>
      <c r="F154" s="77"/>
      <c r="G154" s="78"/>
      <c r="H154" s="19"/>
      <c r="I154" s="5"/>
      <c r="J154" s="13"/>
      <c r="L154" s="60"/>
    </row>
    <row r="155" spans="1:12" ht="37.5" x14ac:dyDescent="0.25">
      <c r="A155" s="9" t="s">
        <v>97</v>
      </c>
      <c r="B155" s="8"/>
      <c r="C155" s="4"/>
      <c r="D155" s="4" t="s">
        <v>127</v>
      </c>
      <c r="E155" s="31"/>
      <c r="F155" s="13">
        <f>6+6+4+4+4+6+7+8+12+6+5+5</f>
        <v>73</v>
      </c>
      <c r="G155" s="13" t="s">
        <v>114</v>
      </c>
      <c r="H155" s="33">
        <f>(4212.2+4212.2+2808.4+2828+2828+4238.8+5138.2+5873.2+8806.4+4459.4+3718+3718)/F155/3</f>
        <v>241.28219178082193</v>
      </c>
      <c r="I155" s="33">
        <f>F155*H155</f>
        <v>17613.600000000002</v>
      </c>
      <c r="J155" s="13" t="s">
        <v>115</v>
      </c>
      <c r="L155" s="60"/>
    </row>
    <row r="156" spans="1:12" ht="31.5" x14ac:dyDescent="0.25">
      <c r="A156" s="9"/>
      <c r="B156" s="8"/>
      <c r="C156" s="4"/>
      <c r="D156" s="15" t="s">
        <v>196</v>
      </c>
      <c r="E156" s="42"/>
      <c r="F156" s="42">
        <f>4+2</f>
        <v>6</v>
      </c>
      <c r="G156" s="13" t="s">
        <v>30</v>
      </c>
      <c r="H156" s="42">
        <f>(5173.2+11064.6)/F156</f>
        <v>2706.2999999999997</v>
      </c>
      <c r="I156" s="55">
        <f>H156*F156</f>
        <v>16237.8</v>
      </c>
      <c r="J156" s="13" t="s">
        <v>120</v>
      </c>
      <c r="L156" s="60"/>
    </row>
    <row r="157" spans="1:12" ht="31.5" x14ac:dyDescent="0.25">
      <c r="A157" s="9"/>
      <c r="B157" s="8"/>
      <c r="C157" s="4"/>
      <c r="D157" s="15" t="s">
        <v>258</v>
      </c>
      <c r="E157" s="42"/>
      <c r="F157" s="42">
        <f>5</f>
        <v>5</v>
      </c>
      <c r="G157" s="13" t="s">
        <v>30</v>
      </c>
      <c r="H157" s="42">
        <f>(6751.4)/F157</f>
        <v>1350.28</v>
      </c>
      <c r="I157" s="55">
        <f>H157*F157</f>
        <v>6751.4</v>
      </c>
      <c r="J157" s="13" t="s">
        <v>119</v>
      </c>
      <c r="L157" s="60"/>
    </row>
    <row r="158" spans="1:12" ht="18.75" x14ac:dyDescent="0.25">
      <c r="A158" s="9"/>
      <c r="B158" s="8"/>
      <c r="C158" s="4"/>
      <c r="D158" s="15" t="s">
        <v>230</v>
      </c>
      <c r="E158" s="42"/>
      <c r="F158" s="42">
        <f>3+1</f>
        <v>4</v>
      </c>
      <c r="G158" s="13" t="s">
        <v>31</v>
      </c>
      <c r="H158" s="45">
        <f>(1522.4+857)/F158</f>
        <v>594.85</v>
      </c>
      <c r="I158" s="55">
        <f>F158*H158</f>
        <v>2379.4</v>
      </c>
      <c r="J158" s="13"/>
      <c r="L158" s="60"/>
    </row>
    <row r="159" spans="1:12" ht="18.75" x14ac:dyDescent="0.25">
      <c r="A159" s="9"/>
      <c r="B159" s="8"/>
      <c r="C159" s="4"/>
      <c r="D159" s="4" t="s">
        <v>113</v>
      </c>
      <c r="E159" s="42"/>
      <c r="F159" s="42">
        <f>5+6+37+4+4+7+30+11+15+8</f>
        <v>127</v>
      </c>
      <c r="G159" s="13" t="s">
        <v>30</v>
      </c>
      <c r="H159" s="45">
        <f>(1669.8+2003.4+12369.4+1359.2+1359.2+2376.6+10619.8+3893.8+5368.8+2866)/F159</f>
        <v>345.55905511811022</v>
      </c>
      <c r="I159" s="42">
        <f>F159*H159</f>
        <v>43886</v>
      </c>
      <c r="J159" s="13" t="s">
        <v>115</v>
      </c>
      <c r="L159" s="60"/>
    </row>
    <row r="160" spans="1:12" ht="18.75" x14ac:dyDescent="0.25">
      <c r="A160" s="9"/>
      <c r="B160" s="8"/>
      <c r="C160" s="4"/>
      <c r="D160" s="4" t="s">
        <v>153</v>
      </c>
      <c r="E160" s="42"/>
      <c r="F160" s="42"/>
      <c r="G160" s="13" t="s">
        <v>30</v>
      </c>
      <c r="H160" s="42"/>
      <c r="I160" s="42">
        <f>F160*H160</f>
        <v>0</v>
      </c>
      <c r="J160" s="13" t="s">
        <v>115</v>
      </c>
      <c r="L160" s="60"/>
    </row>
    <row r="161" spans="1:12" ht="18.75" x14ac:dyDescent="0.25">
      <c r="A161" s="9"/>
      <c r="B161" s="8"/>
      <c r="C161" s="4"/>
      <c r="D161" s="4" t="s">
        <v>180</v>
      </c>
      <c r="E161" s="42"/>
      <c r="F161" s="42">
        <f>91+112+8+50+52+40+48+130+90+50+40+80</f>
        <v>791</v>
      </c>
      <c r="G161" s="13" t="s">
        <v>134</v>
      </c>
      <c r="H161" s="45">
        <f>(5933+7303.2+521.2+3280.2+3410.8+2624.2+3267.6+8852.4+6128.4+3448.2+2759.6+5518.4)/F161</f>
        <v>67.063463969658656</v>
      </c>
      <c r="I161" s="42">
        <f>F161*H161</f>
        <v>53047.199999999997</v>
      </c>
      <c r="J161" s="13" t="s">
        <v>115</v>
      </c>
      <c r="L161" s="60"/>
    </row>
    <row r="162" spans="1:12" ht="18.75" x14ac:dyDescent="0.25">
      <c r="A162" s="9"/>
      <c r="B162" s="8"/>
      <c r="C162" s="4"/>
      <c r="D162" s="4" t="s">
        <v>179</v>
      </c>
      <c r="E162" s="42"/>
      <c r="F162" s="42"/>
      <c r="G162" s="13" t="s">
        <v>134</v>
      </c>
      <c r="H162" s="42"/>
      <c r="I162" s="42">
        <f>F162*H162</f>
        <v>0</v>
      </c>
      <c r="J162" s="13" t="s">
        <v>115</v>
      </c>
      <c r="L162" s="60"/>
    </row>
    <row r="163" spans="1:12" ht="18.75" x14ac:dyDescent="0.25">
      <c r="A163" s="9" t="s">
        <v>22</v>
      </c>
      <c r="B163" s="8"/>
      <c r="C163" s="4"/>
      <c r="D163" s="4" t="s">
        <v>76</v>
      </c>
      <c r="E163" s="42"/>
      <c r="F163" s="42"/>
      <c r="G163" s="13" t="s">
        <v>30</v>
      </c>
      <c r="H163" s="42"/>
      <c r="I163" s="42" t="s">
        <v>137</v>
      </c>
      <c r="J163" s="13"/>
      <c r="L163" s="60"/>
    </row>
    <row r="164" spans="1:12" ht="18.75" x14ac:dyDescent="0.25">
      <c r="A164" s="47"/>
      <c r="B164" s="48"/>
      <c r="C164" s="22"/>
      <c r="D164" s="22"/>
      <c r="E164" s="46"/>
      <c r="F164" s="46"/>
      <c r="G164" s="31"/>
      <c r="H164" s="42"/>
      <c r="I164" s="45">
        <f>SUM(I155:I163)</f>
        <v>139915.40000000002</v>
      </c>
      <c r="J164" s="13"/>
      <c r="L164" s="60"/>
    </row>
    <row r="165" spans="1:12" ht="18.75" x14ac:dyDescent="0.3">
      <c r="A165" s="76" t="s">
        <v>78</v>
      </c>
      <c r="B165" s="77"/>
      <c r="C165" s="77"/>
      <c r="D165" s="77"/>
      <c r="E165" s="77"/>
      <c r="F165" s="77"/>
      <c r="G165" s="78"/>
      <c r="H165" s="5"/>
      <c r="I165" s="5"/>
      <c r="J165" s="13"/>
      <c r="L165" s="60"/>
    </row>
    <row r="166" spans="1:12" ht="38.25" customHeight="1" x14ac:dyDescent="0.25">
      <c r="A166" s="9" t="s">
        <v>23</v>
      </c>
      <c r="B166" s="5"/>
      <c r="C166" s="4"/>
      <c r="D166" s="15" t="s">
        <v>140</v>
      </c>
      <c r="E166" s="42" t="s">
        <v>137</v>
      </c>
      <c r="F166" s="42" t="s">
        <v>137</v>
      </c>
      <c r="G166" s="13" t="s">
        <v>54</v>
      </c>
      <c r="H166" s="42"/>
      <c r="I166" s="42" t="s">
        <v>137</v>
      </c>
      <c r="J166" s="13"/>
      <c r="L166" s="60"/>
    </row>
    <row r="167" spans="1:12" ht="38.25" customHeight="1" x14ac:dyDescent="0.25">
      <c r="A167" s="9"/>
      <c r="B167" s="5"/>
      <c r="C167" s="4"/>
      <c r="D167" s="15" t="s">
        <v>162</v>
      </c>
      <c r="E167" s="42" t="s">
        <v>137</v>
      </c>
      <c r="F167" s="42" t="s">
        <v>137</v>
      </c>
      <c r="G167" s="13" t="s">
        <v>31</v>
      </c>
      <c r="H167" s="42"/>
      <c r="I167" s="42" t="s">
        <v>137</v>
      </c>
      <c r="J167" s="13"/>
      <c r="L167" s="60"/>
    </row>
    <row r="168" spans="1:12" ht="18.75" x14ac:dyDescent="0.25">
      <c r="A168" s="9" t="s">
        <v>24</v>
      </c>
      <c r="B168" s="5"/>
      <c r="C168" s="4"/>
      <c r="D168" s="4" t="s">
        <v>77</v>
      </c>
      <c r="E168" s="42" t="s">
        <v>137</v>
      </c>
      <c r="F168" s="42" t="s">
        <v>137</v>
      </c>
      <c r="G168" s="13" t="s">
        <v>54</v>
      </c>
      <c r="H168" s="42"/>
      <c r="I168" s="42" t="s">
        <v>137</v>
      </c>
      <c r="J168" s="13"/>
      <c r="L168" s="60"/>
    </row>
    <row r="169" spans="1:12" ht="31.5" x14ac:dyDescent="0.25">
      <c r="A169" s="9" t="s">
        <v>124</v>
      </c>
      <c r="B169" s="5"/>
      <c r="C169" s="4"/>
      <c r="D169" s="15" t="s">
        <v>148</v>
      </c>
      <c r="E169" s="42" t="s">
        <v>137</v>
      </c>
      <c r="F169" s="42" t="s">
        <v>137</v>
      </c>
      <c r="G169" s="13" t="s">
        <v>54</v>
      </c>
      <c r="H169" s="42"/>
      <c r="I169" s="42" t="s">
        <v>137</v>
      </c>
      <c r="J169" s="13"/>
      <c r="L169" s="60"/>
    </row>
    <row r="170" spans="1:12" ht="18.75" x14ac:dyDescent="0.25">
      <c r="A170" s="9"/>
      <c r="B170" s="5"/>
      <c r="C170" s="4"/>
      <c r="D170" s="15" t="s">
        <v>207</v>
      </c>
      <c r="E170" s="42"/>
      <c r="F170" s="42"/>
      <c r="G170" s="13" t="s">
        <v>31</v>
      </c>
      <c r="H170" s="42"/>
      <c r="I170" s="45"/>
      <c r="J170" s="13"/>
      <c r="L170" s="60"/>
    </row>
    <row r="171" spans="1:12" ht="18.75" x14ac:dyDescent="0.25">
      <c r="A171" s="9"/>
      <c r="B171" s="5"/>
      <c r="C171" s="4"/>
      <c r="D171" s="15" t="s">
        <v>201</v>
      </c>
      <c r="E171" s="42"/>
      <c r="F171" s="42"/>
      <c r="G171" s="13" t="s">
        <v>145</v>
      </c>
      <c r="H171" s="42"/>
      <c r="I171" s="45"/>
      <c r="J171" s="13"/>
      <c r="L171" s="60"/>
    </row>
    <row r="172" spans="1:12" ht="18.75" x14ac:dyDescent="0.25">
      <c r="A172" s="9"/>
      <c r="B172" s="5"/>
      <c r="C172" s="4"/>
      <c r="D172" s="15" t="s">
        <v>184</v>
      </c>
      <c r="E172" s="42"/>
      <c r="F172" s="42"/>
      <c r="G172" s="13" t="s">
        <v>54</v>
      </c>
      <c r="H172" s="42"/>
      <c r="I172" s="45"/>
      <c r="J172" s="13"/>
      <c r="L172" s="60"/>
    </row>
    <row r="173" spans="1:12" ht="18.75" x14ac:dyDescent="0.25">
      <c r="A173" s="9"/>
      <c r="B173" s="5"/>
      <c r="C173" s="4"/>
      <c r="D173" s="15" t="s">
        <v>105</v>
      </c>
      <c r="E173" s="32"/>
      <c r="F173" s="13">
        <f>3+1+4+2+2+4+4+2+2+15+21</f>
        <v>60</v>
      </c>
      <c r="G173" s="13" t="s">
        <v>54</v>
      </c>
      <c r="H173" s="33">
        <f>(622.2+208.4+828.6+414.8+338+676.8+686.2+343+343+2588.2+3623.4)/F173</f>
        <v>177.87666666666667</v>
      </c>
      <c r="I173" s="33">
        <f t="shared" ref="I173" si="18">F173*H173</f>
        <v>10672.6</v>
      </c>
      <c r="J173" s="13" t="s">
        <v>115</v>
      </c>
      <c r="L173" s="60"/>
    </row>
    <row r="174" spans="1:12" ht="18.75" x14ac:dyDescent="0.25">
      <c r="A174" s="9"/>
      <c r="B174" s="5"/>
      <c r="C174" s="4"/>
      <c r="D174" s="15" t="s">
        <v>139</v>
      </c>
      <c r="E174" s="42"/>
      <c r="F174" s="42"/>
      <c r="G174" s="13" t="s">
        <v>31</v>
      </c>
      <c r="H174" s="42"/>
      <c r="I174" s="45" t="s">
        <v>137</v>
      </c>
      <c r="J174" s="13"/>
      <c r="L174" s="60"/>
    </row>
    <row r="175" spans="1:12" ht="56.25" x14ac:dyDescent="0.25">
      <c r="A175" s="9" t="s">
        <v>106</v>
      </c>
      <c r="B175" s="5"/>
      <c r="C175" s="4"/>
      <c r="D175" s="15" t="s">
        <v>122</v>
      </c>
      <c r="E175" s="32"/>
      <c r="F175" s="13">
        <f>72+72+72+72+72+72+72+72+72+72+72+72</f>
        <v>864</v>
      </c>
      <c r="G175" s="13" t="s">
        <v>107</v>
      </c>
      <c r="H175" s="33">
        <f>(3156.8*3+3176.2+3176.2+3176.2+3300.6+3300.6+3300.6+3342.4+3342.4+3342.4)/F175</f>
        <v>45.055555555555557</v>
      </c>
      <c r="I175" s="33">
        <f>F175*H175</f>
        <v>38928</v>
      </c>
      <c r="J175" s="13" t="s">
        <v>115</v>
      </c>
      <c r="L175" s="60"/>
    </row>
    <row r="176" spans="1:12" ht="18.75" x14ac:dyDescent="0.25">
      <c r="A176" s="47"/>
      <c r="B176" s="22"/>
      <c r="C176" s="22"/>
      <c r="D176" s="30"/>
      <c r="E176" s="49"/>
      <c r="F176" s="50"/>
      <c r="G176" s="31"/>
      <c r="H176" s="31"/>
      <c r="I176" s="33">
        <f>SUM(I172:I175)</f>
        <v>49600.6</v>
      </c>
      <c r="J176" s="13"/>
      <c r="L176" s="60"/>
    </row>
    <row r="177" spans="1:12" ht="18.75" x14ac:dyDescent="0.25">
      <c r="A177" s="83" t="s">
        <v>91</v>
      </c>
      <c r="B177" s="84"/>
      <c r="C177" s="84"/>
      <c r="D177" s="84"/>
      <c r="E177" s="84"/>
      <c r="F177" s="84"/>
      <c r="G177" s="85"/>
      <c r="H177" s="12"/>
      <c r="I177" s="5"/>
      <c r="J177" s="13"/>
      <c r="L177" s="60"/>
    </row>
    <row r="178" spans="1:12" ht="18.75" x14ac:dyDescent="0.25">
      <c r="A178" s="26"/>
      <c r="B178" s="27"/>
      <c r="C178" s="27"/>
      <c r="D178" s="36" t="s">
        <v>116</v>
      </c>
      <c r="E178" s="42"/>
      <c r="F178" s="42">
        <f>4+1+2+2</f>
        <v>9</v>
      </c>
      <c r="G178" s="38" t="s">
        <v>31</v>
      </c>
      <c r="H178" s="45">
        <f>(4279.4+1277.4+2554.2+2583.8)/F178</f>
        <v>1188.3111111111111</v>
      </c>
      <c r="I178" s="42">
        <f>F178*H178</f>
        <v>10694.8</v>
      </c>
      <c r="J178" s="13" t="s">
        <v>115</v>
      </c>
      <c r="L178" s="60"/>
    </row>
    <row r="179" spans="1:12" ht="63" x14ac:dyDescent="0.25">
      <c r="A179" s="9" t="s">
        <v>89</v>
      </c>
      <c r="B179" s="22"/>
      <c r="C179" s="22"/>
      <c r="D179" s="23" t="s">
        <v>118</v>
      </c>
      <c r="E179" s="37">
        <v>2184</v>
      </c>
      <c r="F179" s="13">
        <v>2184</v>
      </c>
      <c r="G179" s="31" t="s">
        <v>90</v>
      </c>
      <c r="H179" s="31">
        <v>4.8</v>
      </c>
      <c r="I179" s="13">
        <f>F179*H179*12</f>
        <v>125798.39999999999</v>
      </c>
      <c r="J179" s="13" t="s">
        <v>115</v>
      </c>
      <c r="L179" s="60"/>
    </row>
    <row r="180" spans="1:12" ht="18.75" x14ac:dyDescent="0.25">
      <c r="A180" s="47"/>
      <c r="B180" s="22"/>
      <c r="C180" s="22"/>
      <c r="D180" s="30"/>
      <c r="E180" s="49"/>
      <c r="F180" s="50"/>
      <c r="G180" s="31"/>
      <c r="H180" s="31"/>
      <c r="I180" s="13">
        <f>SUM(I178:I179)</f>
        <v>136493.19999999998</v>
      </c>
      <c r="J180" s="13"/>
      <c r="L180" s="60"/>
    </row>
    <row r="181" spans="1:12" ht="18.75" x14ac:dyDescent="0.3">
      <c r="A181" s="76" t="s">
        <v>79</v>
      </c>
      <c r="B181" s="77"/>
      <c r="C181" s="77"/>
      <c r="D181" s="77"/>
      <c r="E181" s="77"/>
      <c r="F181" s="77"/>
      <c r="G181" s="78"/>
      <c r="H181" s="19"/>
      <c r="I181" s="5"/>
      <c r="J181" s="13"/>
      <c r="L181" s="60"/>
    </row>
    <row r="182" spans="1:12" ht="46.5" customHeight="1" x14ac:dyDescent="0.3">
      <c r="A182" s="34" t="s">
        <v>129</v>
      </c>
      <c r="B182" s="24"/>
      <c r="C182" s="24"/>
      <c r="D182" s="35" t="s">
        <v>128</v>
      </c>
      <c r="E182" s="13">
        <v>624</v>
      </c>
      <c r="F182" s="13">
        <v>624</v>
      </c>
      <c r="G182" s="13" t="s">
        <v>136</v>
      </c>
      <c r="H182" s="13">
        <v>13</v>
      </c>
      <c r="I182" s="13">
        <f>F182*H182*3</f>
        <v>24336</v>
      </c>
      <c r="J182" s="13" t="s">
        <v>178</v>
      </c>
      <c r="L182" s="60"/>
    </row>
    <row r="183" spans="1:12" ht="18.75" x14ac:dyDescent="0.25">
      <c r="A183" s="9" t="s">
        <v>25</v>
      </c>
      <c r="B183" s="5"/>
      <c r="C183" s="4"/>
      <c r="D183" s="4" t="s">
        <v>75</v>
      </c>
      <c r="E183" s="42" t="s">
        <v>137</v>
      </c>
      <c r="F183" s="42" t="s">
        <v>137</v>
      </c>
      <c r="G183" s="14" t="s">
        <v>54</v>
      </c>
      <c r="H183" s="42" t="s">
        <v>137</v>
      </c>
      <c r="I183" s="42" t="s">
        <v>137</v>
      </c>
      <c r="J183" s="13"/>
      <c r="L183" s="60"/>
    </row>
    <row r="184" spans="1:12" ht="47.25" x14ac:dyDescent="0.25">
      <c r="A184" s="9" t="s">
        <v>26</v>
      </c>
      <c r="B184" s="5"/>
      <c r="C184" s="4"/>
      <c r="D184" s="15" t="s">
        <v>28</v>
      </c>
      <c r="E184" s="42" t="s">
        <v>137</v>
      </c>
      <c r="F184" s="42" t="s">
        <v>137</v>
      </c>
      <c r="G184" s="14" t="s">
        <v>54</v>
      </c>
      <c r="H184" s="42" t="s">
        <v>137</v>
      </c>
      <c r="I184" s="42" t="s">
        <v>137</v>
      </c>
      <c r="J184" s="13"/>
      <c r="L184" s="60"/>
    </row>
    <row r="185" spans="1:12" ht="31.5" x14ac:dyDescent="0.25">
      <c r="A185" s="9" t="s">
        <v>27</v>
      </c>
      <c r="B185" s="5"/>
      <c r="C185" s="4"/>
      <c r="D185" s="15" t="s">
        <v>74</v>
      </c>
      <c r="E185" s="42" t="s">
        <v>137</v>
      </c>
      <c r="F185" s="42" t="s">
        <v>137</v>
      </c>
      <c r="G185" s="14" t="s">
        <v>54</v>
      </c>
      <c r="H185" s="42" t="s">
        <v>137</v>
      </c>
      <c r="I185" s="42" t="s">
        <v>137</v>
      </c>
      <c r="J185" s="13"/>
      <c r="L185" s="60"/>
    </row>
    <row r="186" spans="1:12" ht="18.75" x14ac:dyDescent="0.25">
      <c r="A186" s="47"/>
      <c r="B186" s="22"/>
      <c r="C186" s="22"/>
      <c r="D186" s="30"/>
      <c r="E186" s="46"/>
      <c r="F186" s="46"/>
      <c r="G186" s="12"/>
      <c r="H186" s="51"/>
      <c r="I186" s="51">
        <f>SUM(I182:I185)</f>
        <v>24336</v>
      </c>
      <c r="J186" s="52"/>
      <c r="L186" s="60"/>
    </row>
    <row r="187" spans="1:12" ht="18.75" x14ac:dyDescent="0.3">
      <c r="A187" s="76" t="s">
        <v>84</v>
      </c>
      <c r="B187" s="77"/>
      <c r="C187" s="77"/>
      <c r="D187" s="77"/>
      <c r="E187" s="77"/>
      <c r="F187" s="77"/>
      <c r="G187" s="78"/>
      <c r="H187" s="2"/>
      <c r="I187" s="2"/>
      <c r="J187" s="2"/>
      <c r="K187" s="2"/>
      <c r="L187" s="60"/>
    </row>
    <row r="188" spans="1:12" ht="48" x14ac:dyDescent="0.3">
      <c r="A188" s="6" t="s">
        <v>66</v>
      </c>
      <c r="B188" s="6"/>
      <c r="C188" s="4"/>
      <c r="D188" s="15" t="s">
        <v>85</v>
      </c>
      <c r="E188" s="42" t="s">
        <v>137</v>
      </c>
      <c r="F188" s="42" t="s">
        <v>137</v>
      </c>
      <c r="G188" s="13" t="s">
        <v>112</v>
      </c>
      <c r="H188" s="42" t="s">
        <v>137</v>
      </c>
      <c r="I188" s="42" t="s">
        <v>137</v>
      </c>
      <c r="J188" s="5"/>
      <c r="L188" s="60"/>
    </row>
    <row r="189" spans="1:12" ht="32.25" x14ac:dyDescent="0.3">
      <c r="A189" s="28"/>
      <c r="B189" s="29"/>
      <c r="C189" s="22"/>
      <c r="D189" s="30" t="s">
        <v>108</v>
      </c>
      <c r="E189" s="42" t="s">
        <v>137</v>
      </c>
      <c r="F189" s="42" t="s">
        <v>137</v>
      </c>
      <c r="G189" s="13" t="s">
        <v>109</v>
      </c>
      <c r="H189" s="42" t="s">
        <v>137</v>
      </c>
      <c r="I189" s="42" t="s">
        <v>137</v>
      </c>
      <c r="J189" s="39"/>
      <c r="L189" s="60"/>
    </row>
    <row r="190" spans="1:12" ht="18.75" x14ac:dyDescent="0.3">
      <c r="A190" s="76" t="s">
        <v>98</v>
      </c>
      <c r="B190" s="77"/>
      <c r="C190" s="77"/>
      <c r="D190" s="77"/>
      <c r="E190" s="77"/>
      <c r="F190" s="77"/>
      <c r="G190" s="78"/>
      <c r="H190" s="76"/>
      <c r="I190" s="77"/>
      <c r="J190" s="77"/>
      <c r="L190" s="60"/>
    </row>
    <row r="191" spans="1:12" ht="32.25" x14ac:dyDescent="0.3">
      <c r="A191" s="34" t="s">
        <v>146</v>
      </c>
      <c r="B191" s="24"/>
      <c r="C191" s="24"/>
      <c r="D191" s="41" t="s">
        <v>131</v>
      </c>
      <c r="E191" s="13"/>
      <c r="F191" s="13">
        <f>1+1</f>
        <v>2</v>
      </c>
      <c r="G191" s="13" t="s">
        <v>132</v>
      </c>
      <c r="H191" s="13"/>
      <c r="I191" s="59">
        <f t="shared" ref="I191:I194" si="19">F191*H191</f>
        <v>0</v>
      </c>
      <c r="J191" s="13" t="s">
        <v>121</v>
      </c>
      <c r="L191" s="60"/>
    </row>
    <row r="192" spans="1:12" ht="48" x14ac:dyDescent="0.3">
      <c r="A192" s="24"/>
      <c r="B192" s="24"/>
      <c r="C192" s="24"/>
      <c r="D192" s="41" t="s">
        <v>133</v>
      </c>
      <c r="E192" s="42"/>
      <c r="F192" s="42">
        <f>60+175+80</f>
        <v>315</v>
      </c>
      <c r="G192" s="13" t="s">
        <v>134</v>
      </c>
      <c r="H192" s="68">
        <f>(42000+122500+56000)/F192</f>
        <v>700</v>
      </c>
      <c r="I192" s="56">
        <f>F192*H192</f>
        <v>220500</v>
      </c>
      <c r="J192" s="13" t="s">
        <v>121</v>
      </c>
      <c r="L192" s="60"/>
    </row>
    <row r="193" spans="1:12" ht="32.25" x14ac:dyDescent="0.3">
      <c r="A193" s="24"/>
      <c r="B193" s="24"/>
      <c r="C193" s="24"/>
      <c r="D193" s="41" t="s">
        <v>209</v>
      </c>
      <c r="E193" s="13"/>
      <c r="F193" s="13">
        <f>290+440+390</f>
        <v>1120</v>
      </c>
      <c r="G193" s="13" t="s">
        <v>135</v>
      </c>
      <c r="H193" s="33">
        <f>(13291+20165+17874)/F193</f>
        <v>45.830357142857146</v>
      </c>
      <c r="I193" s="59">
        <f t="shared" si="19"/>
        <v>51330</v>
      </c>
      <c r="J193" s="13" t="s">
        <v>121</v>
      </c>
      <c r="L193" s="60"/>
    </row>
    <row r="194" spans="1:12" ht="32.25" x14ac:dyDescent="0.3">
      <c r="A194" s="24"/>
      <c r="B194" s="24"/>
      <c r="C194" s="24"/>
      <c r="D194" s="41" t="s">
        <v>210</v>
      </c>
      <c r="E194" s="13"/>
      <c r="F194" s="13">
        <f>95+195</f>
        <v>290</v>
      </c>
      <c r="G194" s="13" t="s">
        <v>135</v>
      </c>
      <c r="H194" s="33">
        <f>(4354+8937)/F194</f>
        <v>45.831034482758618</v>
      </c>
      <c r="I194" s="59">
        <f t="shared" si="19"/>
        <v>13291</v>
      </c>
      <c r="J194" s="13" t="s">
        <v>121</v>
      </c>
      <c r="L194" s="60"/>
    </row>
    <row r="195" spans="1:12" ht="48" x14ac:dyDescent="0.3">
      <c r="A195" s="24"/>
      <c r="B195" s="24"/>
      <c r="C195" s="24"/>
      <c r="D195" s="15" t="s">
        <v>231</v>
      </c>
      <c r="E195" s="42"/>
      <c r="F195" s="42">
        <f>6.1</f>
        <v>6.1</v>
      </c>
      <c r="G195" s="13" t="s">
        <v>112</v>
      </c>
      <c r="H195" s="45">
        <f>3838/F195</f>
        <v>629.18032786885249</v>
      </c>
      <c r="I195" s="70">
        <f>F195*H195</f>
        <v>3838</v>
      </c>
      <c r="J195" s="13"/>
      <c r="L195" s="60"/>
    </row>
    <row r="196" spans="1:12" ht="18.75" x14ac:dyDescent="0.3">
      <c r="A196" s="24"/>
      <c r="B196" s="24"/>
      <c r="C196" s="24"/>
      <c r="D196" s="41" t="s">
        <v>149</v>
      </c>
      <c r="E196" s="42"/>
      <c r="F196" s="42">
        <f>1</f>
        <v>1</v>
      </c>
      <c r="G196" s="13" t="s">
        <v>31</v>
      </c>
      <c r="H196" s="42">
        <f>12177/F196</f>
        <v>12177</v>
      </c>
      <c r="I196" s="55">
        <f>F196*H196</f>
        <v>12177</v>
      </c>
      <c r="J196" s="13" t="s">
        <v>117</v>
      </c>
      <c r="L196" s="60"/>
    </row>
    <row r="197" spans="1:12" ht="32.25" x14ac:dyDescent="0.3">
      <c r="A197" s="34" t="s">
        <v>221</v>
      </c>
      <c r="B197" s="24"/>
      <c r="C197" s="24"/>
      <c r="D197" s="41" t="s">
        <v>234</v>
      </c>
      <c r="E197" s="42"/>
      <c r="F197" s="42">
        <f>1+1</f>
        <v>2</v>
      </c>
      <c r="G197" s="13" t="s">
        <v>31</v>
      </c>
      <c r="H197" s="42">
        <f>(40000+30000)/F197</f>
        <v>35000</v>
      </c>
      <c r="I197" s="55">
        <f>F197*H197</f>
        <v>70000</v>
      </c>
      <c r="J197" s="13" t="s">
        <v>119</v>
      </c>
      <c r="L197" s="60"/>
    </row>
    <row r="198" spans="1:12" ht="47.25" x14ac:dyDescent="0.3">
      <c r="A198" s="34" t="s">
        <v>146</v>
      </c>
      <c r="B198" s="14"/>
      <c r="C198" s="14"/>
      <c r="D198" s="44" t="s">
        <v>237</v>
      </c>
      <c r="E198" s="42" t="s">
        <v>137</v>
      </c>
      <c r="F198" s="42">
        <v>6</v>
      </c>
      <c r="G198" s="14" t="s">
        <v>112</v>
      </c>
      <c r="H198" s="45">
        <f>7673/F198</f>
        <v>1278.8333333333333</v>
      </c>
      <c r="I198" s="55">
        <f>F198*H198</f>
        <v>7673</v>
      </c>
      <c r="J198" s="14" t="s">
        <v>117</v>
      </c>
      <c r="L198" s="60"/>
    </row>
    <row r="199" spans="1:12" ht="18.75" x14ac:dyDescent="0.3">
      <c r="A199" s="34"/>
      <c r="B199" s="14"/>
      <c r="C199" s="14"/>
      <c r="D199" s="40"/>
      <c r="E199" s="42"/>
      <c r="F199" s="42"/>
      <c r="G199" s="14"/>
      <c r="H199" s="42"/>
      <c r="I199" s="56">
        <f>SUM(I191:I198)</f>
        <v>378809</v>
      </c>
      <c r="J199" s="14"/>
      <c r="L199" s="60"/>
    </row>
    <row r="200" spans="1:12" ht="18.75" x14ac:dyDescent="0.3">
      <c r="A200" s="34"/>
      <c r="B200" s="14"/>
      <c r="C200" s="14"/>
      <c r="D200" s="44"/>
      <c r="E200" s="14"/>
      <c r="F200" s="14"/>
      <c r="G200" s="38"/>
      <c r="H200" s="14"/>
      <c r="I200" s="72">
        <f>I5+I6+I18+I19+I24+I25+I26+I27+I28+I29+I30+I31+I32+I33+I35+I36+I37+I38+I39+I40+I41+I42+I53+I54+I55+I57+I58+I59+I60+I62+I63+I64+I66+I71+I72+I74+I76+I78+I81+I88+I97+I102+I103+I104+I105+I106+I107+I108+I109+I110+I111+I112+I113+I116+I118+I119+I122+I126+I127+I128+I129+I131+I134+I135+I139+I140+I142+I148+I151+I156+I157+I158+I191+I192+I193+I194+I195+I196+I197+I198</f>
        <v>2291610</v>
      </c>
      <c r="J200" s="14"/>
      <c r="L200" s="2"/>
    </row>
    <row r="201" spans="1:12" ht="15.75" x14ac:dyDescent="0.25">
      <c r="A201" s="53" t="s">
        <v>208</v>
      </c>
      <c r="B201" s="25"/>
      <c r="C201" s="25"/>
      <c r="D201" s="44"/>
      <c r="E201" s="13"/>
      <c r="F201" s="13"/>
      <c r="G201" s="38"/>
      <c r="H201" s="13"/>
      <c r="I201" s="54">
        <f>I50+I85+I123+I136+I153+I164+I176+I180+I186+I199</f>
        <v>3919517.0000000005</v>
      </c>
      <c r="J201" s="14"/>
      <c r="K201" s="2"/>
      <c r="L201" s="2"/>
    </row>
    <row r="202" spans="1:12" ht="99.75" customHeight="1" x14ac:dyDescent="0.25">
      <c r="A202" s="73" t="s">
        <v>104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2"/>
      <c r="L202" s="2"/>
    </row>
    <row r="203" spans="1:12" ht="15.75" x14ac:dyDescent="0.25">
      <c r="A203" s="2"/>
      <c r="B203" s="2"/>
      <c r="C203" s="2"/>
      <c r="D203" s="16"/>
      <c r="E203" s="2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2"/>
      <c r="F204" s="60"/>
      <c r="G204" s="2"/>
      <c r="H204" s="2"/>
      <c r="I204" s="2"/>
      <c r="J204" s="2"/>
      <c r="K204" s="2"/>
      <c r="L204" s="60"/>
    </row>
    <row r="205" spans="1:12" ht="15.75" x14ac:dyDescent="0.25">
      <c r="A205" s="2"/>
      <c r="B205" s="2"/>
      <c r="C205" s="2"/>
      <c r="D205" s="16"/>
      <c r="E205" s="2"/>
      <c r="F205" s="60"/>
      <c r="G205" s="2"/>
      <c r="H205" s="60"/>
      <c r="I205" s="60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2"/>
      <c r="F206" s="60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</sheetData>
  <mergeCells count="16">
    <mergeCell ref="A202:J202"/>
    <mergeCell ref="A2:J2"/>
    <mergeCell ref="A190:G190"/>
    <mergeCell ref="H190:J190"/>
    <mergeCell ref="I1:J1"/>
    <mergeCell ref="A137:G137"/>
    <mergeCell ref="A165:G165"/>
    <mergeCell ref="A187:G187"/>
    <mergeCell ref="A51:G51"/>
    <mergeCell ref="A15:G15"/>
    <mergeCell ref="A4:G4"/>
    <mergeCell ref="A177:G177"/>
    <mergeCell ref="A86:G86"/>
    <mergeCell ref="A124:G124"/>
    <mergeCell ref="A154:G154"/>
    <mergeCell ref="A181:G181"/>
  </mergeCells>
  <pageMargins left="0.78740157480314965" right="0.70866141732283472" top="0" bottom="0.19685039370078741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2025-01-28T11:06:05Z</cp:lastPrinted>
  <dcterms:created xsi:type="dcterms:W3CDTF">2017-05-29T12:14:13Z</dcterms:created>
  <dcterms:modified xsi:type="dcterms:W3CDTF">2025-03-14T04:54:18Z</dcterms:modified>
</cp:coreProperties>
</file>