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23" i="1" l="1"/>
  <c r="I75" i="1"/>
  <c r="I67" i="1"/>
  <c r="I43" i="1"/>
  <c r="I15" i="1"/>
  <c r="F69" i="1" l="1"/>
  <c r="F77" i="1"/>
  <c r="F115" i="1"/>
  <c r="H115" i="1" s="1"/>
  <c r="F117" i="1"/>
  <c r="H117" i="1" s="1"/>
  <c r="H71" i="1"/>
  <c r="F73" i="1"/>
  <c r="H73" i="1" s="1"/>
  <c r="F70" i="1"/>
  <c r="H70" i="1" s="1"/>
  <c r="F47" i="1"/>
  <c r="F97" i="1"/>
  <c r="H97" i="1" s="1"/>
  <c r="F83" i="1"/>
  <c r="H83" i="1" s="1"/>
  <c r="H47" i="1" l="1"/>
  <c r="I47" i="1" s="1"/>
  <c r="H69" i="1"/>
  <c r="I69" i="1" s="1"/>
  <c r="H77" i="1"/>
  <c r="I77" i="1" s="1"/>
  <c r="F58" i="1"/>
  <c r="H58" i="1" s="1"/>
  <c r="H55" i="1"/>
  <c r="H23" i="1"/>
  <c r="I23" i="1" s="1"/>
  <c r="F59" i="1"/>
  <c r="H59" i="1" s="1"/>
  <c r="H49" i="1"/>
  <c r="F96" i="1"/>
  <c r="H96" i="1" s="1"/>
  <c r="F53" i="1"/>
  <c r="H53" i="1" s="1"/>
  <c r="F61" i="1"/>
  <c r="H61" i="1" s="1"/>
  <c r="F60" i="1"/>
  <c r="H60" i="1" s="1"/>
  <c r="F85" i="1"/>
  <c r="H85" i="1" s="1"/>
  <c r="F84" i="1" l="1"/>
  <c r="H84" i="1" s="1"/>
  <c r="F79" i="1"/>
  <c r="H79" i="1" s="1"/>
  <c r="F56" i="1"/>
  <c r="H56" i="1" s="1"/>
  <c r="F52" i="1"/>
  <c r="H52" i="1" s="1"/>
  <c r="F50" i="1"/>
  <c r="H50" i="1" s="1"/>
  <c r="F86" i="1"/>
  <c r="H86" i="1" s="1"/>
  <c r="I79" i="1" l="1"/>
  <c r="F33" i="1"/>
  <c r="H33" i="1" l="1"/>
  <c r="I33" i="1" s="1"/>
  <c r="H38" i="1"/>
  <c r="I38" i="1" s="1"/>
  <c r="F37" i="1"/>
  <c r="H37" i="1" s="1"/>
  <c r="H120" i="1"/>
  <c r="I120" i="1" s="1"/>
  <c r="F119" i="1"/>
  <c r="H119" i="1" l="1"/>
  <c r="I119" i="1" s="1"/>
  <c r="I37" i="1"/>
  <c r="H114" i="1"/>
  <c r="H57" i="1"/>
  <c r="F48" i="1"/>
  <c r="H48" i="1" s="1"/>
  <c r="F63" i="1"/>
  <c r="H63" i="1" s="1"/>
  <c r="F62" i="1"/>
  <c r="H62" i="1" s="1"/>
  <c r="I85" i="1"/>
  <c r="H118" i="1"/>
  <c r="F6" i="1"/>
  <c r="F116" i="1"/>
  <c r="H116" i="1" s="1"/>
  <c r="H6" i="1" l="1"/>
  <c r="I6" i="1" s="1"/>
  <c r="I60" i="1"/>
  <c r="I62" i="1"/>
  <c r="I55" i="1"/>
  <c r="I61" i="1"/>
  <c r="I63" i="1"/>
  <c r="I53" i="1"/>
  <c r="F51" i="1" l="1"/>
  <c r="H51" i="1" s="1"/>
  <c r="I52" i="1" l="1"/>
  <c r="I51" i="1"/>
  <c r="I50" i="1"/>
  <c r="I84" i="1" l="1"/>
  <c r="F46" i="1"/>
  <c r="H46" i="1" s="1"/>
  <c r="F54" i="1" l="1"/>
  <c r="H54" i="1" s="1"/>
  <c r="I71" i="1" l="1"/>
  <c r="I58" i="1"/>
  <c r="I57" i="1" l="1"/>
  <c r="I86" i="1"/>
  <c r="I56" i="1"/>
  <c r="I73" i="1"/>
  <c r="I70" i="1"/>
  <c r="I116" i="1" l="1"/>
  <c r="I115" i="1"/>
  <c r="I114" i="1"/>
  <c r="I117" i="1" l="1"/>
  <c r="I118" i="1" l="1"/>
  <c r="I121" i="1" s="1"/>
  <c r="I30" i="1" l="1"/>
  <c r="I49" i="1"/>
  <c r="I48" i="1"/>
  <c r="I59" i="1"/>
  <c r="I83" i="1"/>
  <c r="I89" i="1" s="1"/>
  <c r="I81" i="1"/>
  <c r="I46" i="1"/>
  <c r="I54" i="1"/>
  <c r="I96" i="1"/>
  <c r="I105" i="1"/>
  <c r="I109" i="1" s="1"/>
  <c r="I122" i="1" l="1"/>
  <c r="I102" i="1"/>
  <c r="I103" i="1" s="1"/>
  <c r="I97" i="1" l="1"/>
  <c r="I98" i="1" s="1"/>
</calcChain>
</file>

<file path=xl/sharedStrings.xml><?xml version="1.0" encoding="utf-8"?>
<sst xmlns="http://schemas.openxmlformats.org/spreadsheetml/2006/main" count="476" uniqueCount="189">
  <si>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</si>
  <si>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</si>
  <si>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</si>
  <si>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</si>
  <si>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</si>
  <si>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</si>
  <si>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</si>
  <si>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</si>
  <si>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</si>
  <si>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</si>
  <si>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</si>
  <si>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</si>
  <si>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</si>
  <si>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</si>
  <si>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</si>
  <si>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</si>
  <si>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</si>
  <si>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</si>
  <si>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</si>
  <si>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</si>
  <si>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</si>
  <si>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</si>
  <si>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</si>
  <si>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</si>
  <si>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</si>
  <si>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</si>
  <si>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</si>
  <si>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</si>
  <si>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</si>
  <si>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</si>
  <si>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</si>
  <si>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</si>
  <si>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</si>
  <si>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</si>
  <si>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</si>
  <si>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</si>
  <si>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</si>
  <si>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</si>
  <si>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</si>
  <si>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</si>
  <si>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</si>
  <si>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</si>
  <si>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</si>
  <si>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</si>
  <si>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</si>
  <si>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</si>
  <si>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</si>
  <si>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</si>
  <si>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</si>
  <si>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</si>
  <si>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</si>
  <si>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</si>
  <si>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</si>
  <si>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</si>
  <si>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</si>
  <si>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</si>
  <si>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</si>
  <si>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</si>
  <si>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</si>
  <si>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</si>
  <si>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</si>
  <si>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</si>
  <si>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</si>
  <si>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</si>
  <si>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</si>
  <si>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</si>
  <si>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</si>
  <si>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</si>
  <si>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</si>
  <si>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</si>
  <si>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</si>
  <si>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</si>
  <si>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</si>
  <si>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</si>
  <si>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</si>
  <si>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</si>
  <si>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</si>
  <si>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</si>
  <si>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</si>
  <si>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</si>
  <si>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</si>
  <si>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</si>
  <si>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</si>
  <si>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</si>
  <si>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</si>
  <si>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</si>
  <si>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</si>
  <si>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</si>
  <si>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</si>
  <si>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</si>
  <si>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</si>
  <si>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</si>
  <si>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</si>
  <si>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</si>
  <si>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</si>
  <si>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</si>
  <si>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</si>
  <si>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</si>
  <si>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</si>
  <si>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</si>
  <si>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</si>
  <si>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</si>
  <si>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</si>
  <si>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</si>
  <si>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</si>
  <si>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</si>
  <si>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</si>
  <si>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</si>
  <si>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</si>
  <si>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</si>
  <si>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</si>
  <si>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</si>
  <si>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</si>
  <si>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прочистка фильтра диам. 50мм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</si>
  <si>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</si>
  <si>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</si>
  <si>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</si>
  <si>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</si>
  <si>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</si>
  <si>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</si>
  <si>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</si>
  <si>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</si>
  <si>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4 квартал</t>
  </si>
  <si>
    <t>смена трубопроводов из полиэтиленовых труб диам. 100мм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</si>
  <si>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</si>
  <si>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</si>
  <si>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</si>
  <si>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</si>
  <si>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</si>
  <si>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</si>
  <si>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</si>
  <si>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</si>
  <si>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</si>
  <si>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</si>
  <si>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</si>
  <si>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</si>
  <si>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</si>
  <si>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</si>
  <si>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</si>
  <si>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1,2,3,4квартал</t>
  </si>
  <si>
    <t>каналов</t>
  </si>
  <si>
    <t>демонтаж элеваторных узлов</t>
  </si>
  <si>
    <t>установка элеваторов после прочистки</t>
  </si>
  <si>
    <t>узел</t>
  </si>
  <si>
    <t>демонтаж грязевиков</t>
  </si>
  <si>
    <t>установка грязевиков после прочистки</t>
  </si>
  <si>
    <t>замена сопла</t>
  </si>
  <si>
    <t>установка хомутов на трубопроводы</t>
  </si>
  <si>
    <t>очистка канализационной сети дворовой</t>
  </si>
  <si>
    <t>смена дверных приборов:пружины</t>
  </si>
  <si>
    <t>подвал</t>
  </si>
  <si>
    <t>водоотлив из подвала насосами</t>
  </si>
  <si>
    <t>м3 воды</t>
  </si>
  <si>
    <t>смена отдельных участков трубопроводов с заготовкой труб в построечных условиях диам. 20мм</t>
  </si>
  <si>
    <t>врезка</t>
  </si>
  <si>
    <t>−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</si>
  <si>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</si>
  <si>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</si>
  <si>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</si>
  <si>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смена кранов шаровых диам. 15,25мм</t>
  </si>
  <si>
    <t>1 квартал</t>
  </si>
  <si>
    <t>соед.</t>
  </si>
  <si>
    <t>услуга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</si>
  <si>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</si>
  <si>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</si>
  <si>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прокладка внутренних трубопроводов водоснабжения и отопления из полипропиленовых труб:диам. 25мм</t>
  </si>
  <si>
    <t>Текущий ремонт</t>
  </si>
  <si>
    <t xml:space="preserve">
Отчет о выполнении работ по текущему ремонту общего имущества 
в многоквартирном доме по адресу: г.Щёлково, ул.Талсинская, дом 13  на 2024 г.
</t>
  </si>
  <si>
    <t>ремонт кровли</t>
  </si>
  <si>
    <t>оказание услуг по сбору и транспортированию строительных отходов</t>
  </si>
  <si>
    <t>водоотлив из подвала электрическим насосом</t>
  </si>
  <si>
    <t>смена отдельных участков трубопроводов с заготовкой труб в построечных условиях диам. 80мм</t>
  </si>
  <si>
    <t>установка фланцевых соединений на стальных трубопроводах диам. 80мм</t>
  </si>
  <si>
    <t>смена задвижек диам,50мм</t>
  </si>
  <si>
    <t>установка аншлага</t>
  </si>
  <si>
    <t>монтаж ограждающих конструкций стен из профилированного листа</t>
  </si>
  <si>
    <t>м 2</t>
  </si>
  <si>
    <t xml:space="preserve">монтаж щитов покрытий </t>
  </si>
  <si>
    <t>кг</t>
  </si>
  <si>
    <t>устройство металлических ограждений с поручнями из поливинилхлорида</t>
  </si>
  <si>
    <t>устройство металлических ограждений без поручня</t>
  </si>
  <si>
    <t>ремонт и восстановление уплотнения стыков прокладками ПРП в ряд в стенах,оконных и дверных блоках насухо</t>
  </si>
  <si>
    <t>м</t>
  </si>
  <si>
    <t>смена сгонов у трубопроводов диаметром до 20мм</t>
  </si>
  <si>
    <t>врезка в действующие внутренние сети трубопроводов отопления и водоснабжения диам. 20мм</t>
  </si>
  <si>
    <t>смена кранов на шаровые краны диам. 20мм</t>
  </si>
  <si>
    <t>утепление наружных стен квартиры 27</t>
  </si>
  <si>
    <t>врезка в действующие внутренние сети трубопроводов отопления и водоснабжения диам. 25мм</t>
  </si>
  <si>
    <t>усиление сварных швов наплавкой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</si>
</sst>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/>
    <xf numFmtId="164" fontId="1" fillId="0" borderId="0" xfId="0" applyNumberFormat="1" applyFont="1" applyAlignment="1"/>
    <xf numFmtId="2" fontId="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/>
    <xf numFmtId="0" fontId="1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0"/>
  <sheetViews>
    <sheetView tabSelected="1" topLeftCell="D123" zoomScale="93" zoomScaleNormal="93" workbookViewId="0">
      <selection activeCell="D126" sqref="D126:K130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1" width="8.85546875" style="1"/>
    <col min="12" max="12" width="10.7109375" style="1" bestFit="1" customWidth="1"/>
    <col min="13" max="16384" width="8.85546875" style="1"/>
  </cols>
  <sheetData>
    <row r="1" spans="1:12" ht="51.75" customHeight="1" x14ac:dyDescent="0.25">
      <c r="I1" s="79" t="s">
        <v>96</v>
      </c>
      <c r="J1" s="79"/>
    </row>
    <row r="2" spans="1:12" ht="70.5" customHeight="1" x14ac:dyDescent="0.25">
      <c r="A2" s="74" t="s">
        <v>167</v>
      </c>
      <c r="B2" s="75"/>
      <c r="C2" s="75"/>
      <c r="D2" s="75"/>
      <c r="E2" s="75"/>
      <c r="F2" s="75"/>
      <c r="G2" s="75"/>
      <c r="H2" s="75"/>
      <c r="I2" s="75"/>
      <c r="J2" s="75"/>
      <c r="K2" s="2"/>
      <c r="L2" s="2"/>
    </row>
    <row r="3" spans="1:12" ht="75" x14ac:dyDescent="0.25">
      <c r="A3" s="20" t="s">
        <v>81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80</v>
      </c>
      <c r="H3" s="21" t="s">
        <v>79</v>
      </c>
      <c r="I3" s="21" t="s">
        <v>101</v>
      </c>
      <c r="J3" s="21" t="s">
        <v>103</v>
      </c>
      <c r="K3" s="2"/>
      <c r="L3" s="2"/>
    </row>
    <row r="4" spans="1:12" ht="18.75" x14ac:dyDescent="0.3">
      <c r="A4" s="80" t="s">
        <v>87</v>
      </c>
      <c r="B4" s="81"/>
      <c r="C4" s="81"/>
      <c r="D4" s="81"/>
      <c r="E4" s="81"/>
      <c r="F4" s="81"/>
      <c r="G4" s="82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125</v>
      </c>
      <c r="E5" s="48" t="s">
        <v>155</v>
      </c>
      <c r="F5" s="13" t="s">
        <v>155</v>
      </c>
      <c r="G5" s="13" t="s">
        <v>114</v>
      </c>
      <c r="H5" s="13" t="s">
        <v>155</v>
      </c>
      <c r="I5" s="13" t="s">
        <v>155</v>
      </c>
      <c r="J5" s="13"/>
      <c r="K5" s="2"/>
      <c r="L5" s="2"/>
    </row>
    <row r="6" spans="1:12" ht="18.75" x14ac:dyDescent="0.3">
      <c r="A6" s="6"/>
      <c r="B6" s="5"/>
      <c r="C6" s="4"/>
      <c r="D6" s="15" t="s">
        <v>168</v>
      </c>
      <c r="E6" s="33"/>
      <c r="F6" s="31">
        <f>1</f>
        <v>1</v>
      </c>
      <c r="G6" s="13" t="s">
        <v>162</v>
      </c>
      <c r="H6" s="31">
        <f>377200/F6</f>
        <v>377200</v>
      </c>
      <c r="I6" s="70">
        <f>F6*H6</f>
        <v>377200</v>
      </c>
      <c r="J6" s="13" t="s">
        <v>124</v>
      </c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37</v>
      </c>
      <c r="E7" s="33" t="s">
        <v>155</v>
      </c>
      <c r="F7" s="33" t="s">
        <v>155</v>
      </c>
      <c r="G7" s="13" t="s">
        <v>29</v>
      </c>
      <c r="H7" s="33" t="s">
        <v>155</v>
      </c>
      <c r="I7" s="33" t="s">
        <v>155</v>
      </c>
      <c r="J7" s="5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37</v>
      </c>
      <c r="E8" s="33" t="s">
        <v>155</v>
      </c>
      <c r="F8" s="33" t="s">
        <v>155</v>
      </c>
      <c r="G8" s="13" t="s">
        <v>29</v>
      </c>
      <c r="H8" s="33" t="s">
        <v>155</v>
      </c>
      <c r="I8" s="33" t="s">
        <v>155</v>
      </c>
      <c r="J8" s="5"/>
      <c r="K8" s="2"/>
      <c r="L8" s="2"/>
    </row>
    <row r="9" spans="1:12" ht="18.75" x14ac:dyDescent="0.3">
      <c r="A9" s="7" t="s">
        <v>3</v>
      </c>
      <c r="B9" s="5"/>
      <c r="C9" s="4"/>
      <c r="D9" s="15" t="s">
        <v>36</v>
      </c>
      <c r="E9" s="33" t="s">
        <v>155</v>
      </c>
      <c r="F9" s="33" t="s">
        <v>155</v>
      </c>
      <c r="G9" s="13" t="s">
        <v>29</v>
      </c>
      <c r="H9" s="33" t="s">
        <v>155</v>
      </c>
      <c r="I9" s="33" t="s">
        <v>155</v>
      </c>
      <c r="J9" s="5"/>
      <c r="K9" s="2"/>
      <c r="L9" s="2"/>
    </row>
    <row r="10" spans="1:12" ht="32.25" x14ac:dyDescent="0.3">
      <c r="A10" s="6" t="s">
        <v>4</v>
      </c>
      <c r="B10" s="5"/>
      <c r="C10" s="4"/>
      <c r="D10" s="15" t="s">
        <v>35</v>
      </c>
      <c r="E10" s="33" t="s">
        <v>155</v>
      </c>
      <c r="F10" s="33" t="s">
        <v>155</v>
      </c>
      <c r="G10" s="13" t="s">
        <v>29</v>
      </c>
      <c r="H10" s="33" t="s">
        <v>155</v>
      </c>
      <c r="I10" s="33" t="s">
        <v>155</v>
      </c>
      <c r="J10" s="5"/>
      <c r="K10" s="2"/>
      <c r="L10" s="2"/>
    </row>
    <row r="11" spans="1:12" ht="18.75" x14ac:dyDescent="0.3">
      <c r="A11" s="6" t="s">
        <v>5</v>
      </c>
      <c r="B11" s="5"/>
      <c r="C11" s="4"/>
      <c r="D11" s="4" t="s">
        <v>86</v>
      </c>
      <c r="E11" s="33" t="s">
        <v>155</v>
      </c>
      <c r="F11" s="33" t="s">
        <v>155</v>
      </c>
      <c r="G11" s="13" t="s">
        <v>30</v>
      </c>
      <c r="H11" s="33" t="s">
        <v>155</v>
      </c>
      <c r="I11" s="33" t="s">
        <v>155</v>
      </c>
      <c r="J11" s="5"/>
      <c r="K11" s="2"/>
      <c r="L11" s="2"/>
    </row>
    <row r="12" spans="1:12" ht="37.5" x14ac:dyDescent="0.3">
      <c r="A12" s="6" t="s">
        <v>6</v>
      </c>
      <c r="B12" s="5"/>
      <c r="C12" s="4"/>
      <c r="D12" s="4" t="s">
        <v>34</v>
      </c>
      <c r="E12" s="33" t="s">
        <v>155</v>
      </c>
      <c r="F12" s="33" t="s">
        <v>155</v>
      </c>
      <c r="G12" s="14" t="s">
        <v>30</v>
      </c>
      <c r="H12" s="33" t="s">
        <v>155</v>
      </c>
      <c r="I12" s="33" t="s">
        <v>155</v>
      </c>
      <c r="J12" s="5"/>
      <c r="K12" s="2"/>
      <c r="L12" s="2"/>
    </row>
    <row r="13" spans="1:12" ht="32.25" x14ac:dyDescent="0.3">
      <c r="A13" s="6" t="s">
        <v>61</v>
      </c>
      <c r="B13" s="5"/>
      <c r="C13" s="4"/>
      <c r="D13" s="15" t="s">
        <v>51</v>
      </c>
      <c r="E13" s="33" t="s">
        <v>155</v>
      </c>
      <c r="F13" s="33" t="s">
        <v>155</v>
      </c>
      <c r="G13" s="13" t="s">
        <v>29</v>
      </c>
      <c r="H13" s="33" t="s">
        <v>155</v>
      </c>
      <c r="I13" s="33" t="s">
        <v>155</v>
      </c>
      <c r="J13" s="5"/>
      <c r="L13" s="2"/>
    </row>
    <row r="14" spans="1:12" ht="27" customHeight="1" x14ac:dyDescent="0.3">
      <c r="A14" s="6" t="s">
        <v>7</v>
      </c>
      <c r="B14" s="5"/>
      <c r="C14" s="4"/>
      <c r="D14" s="15" t="s">
        <v>33</v>
      </c>
      <c r="E14" s="33" t="s">
        <v>155</v>
      </c>
      <c r="F14" s="33" t="s">
        <v>155</v>
      </c>
      <c r="G14" s="13" t="s">
        <v>29</v>
      </c>
      <c r="H14" s="33" t="s">
        <v>155</v>
      </c>
      <c r="I14" s="33" t="s">
        <v>155</v>
      </c>
      <c r="J14" s="5"/>
      <c r="K14" s="2"/>
      <c r="L14" s="2"/>
    </row>
    <row r="15" spans="1:12" ht="27" customHeight="1" x14ac:dyDescent="0.3">
      <c r="A15" s="28"/>
      <c r="B15" s="22"/>
      <c r="C15" s="22"/>
      <c r="D15" s="30"/>
      <c r="E15" s="49"/>
      <c r="F15" s="49"/>
      <c r="G15" s="31"/>
      <c r="H15" s="33"/>
      <c r="I15" s="33">
        <f>SUM(I6:I14)</f>
        <v>377200</v>
      </c>
      <c r="J15" s="5"/>
      <c r="K15" s="2"/>
      <c r="L15" s="2"/>
    </row>
    <row r="16" spans="1:12" ht="18.75" x14ac:dyDescent="0.3">
      <c r="A16" s="80" t="s">
        <v>54</v>
      </c>
      <c r="B16" s="81"/>
      <c r="C16" s="81"/>
      <c r="D16" s="81"/>
      <c r="E16" s="81"/>
      <c r="F16" s="81"/>
      <c r="G16" s="82"/>
      <c r="H16" s="14"/>
      <c r="I16" s="5"/>
      <c r="J16" s="5"/>
      <c r="L16" s="2"/>
    </row>
    <row r="17" spans="1:12" ht="18.75" x14ac:dyDescent="0.3">
      <c r="A17" s="6" t="s">
        <v>18</v>
      </c>
      <c r="B17" s="5"/>
      <c r="C17" s="4"/>
      <c r="D17" s="4" t="s">
        <v>95</v>
      </c>
      <c r="E17" s="33" t="s">
        <v>155</v>
      </c>
      <c r="F17" s="33" t="s">
        <v>155</v>
      </c>
      <c r="G17" s="14" t="s">
        <v>53</v>
      </c>
      <c r="H17" s="33" t="s">
        <v>155</v>
      </c>
      <c r="I17" s="33" t="s">
        <v>155</v>
      </c>
      <c r="J17" s="5"/>
      <c r="L17" s="2"/>
    </row>
    <row r="18" spans="1:12" ht="18.75" x14ac:dyDescent="0.3">
      <c r="A18" s="6" t="s">
        <v>12</v>
      </c>
      <c r="B18" s="5"/>
      <c r="C18" s="4"/>
      <c r="D18" s="4" t="s">
        <v>40</v>
      </c>
      <c r="E18" s="33" t="s">
        <v>155</v>
      </c>
      <c r="F18" s="33" t="s">
        <v>155</v>
      </c>
      <c r="G18" s="14" t="s">
        <v>52</v>
      </c>
      <c r="H18" s="33" t="s">
        <v>155</v>
      </c>
      <c r="I18" s="33" t="s">
        <v>155</v>
      </c>
      <c r="J18" s="5"/>
      <c r="L18" s="2"/>
    </row>
    <row r="19" spans="1:12" ht="18.75" x14ac:dyDescent="0.3">
      <c r="A19" s="6" t="s">
        <v>9</v>
      </c>
      <c r="B19" s="5"/>
      <c r="C19" s="4"/>
      <c r="D19" s="4" t="s">
        <v>32</v>
      </c>
      <c r="E19" s="33"/>
      <c r="F19" s="33"/>
      <c r="G19" s="14" t="s">
        <v>52</v>
      </c>
      <c r="H19" s="33" t="s">
        <v>155</v>
      </c>
      <c r="I19" s="33" t="s">
        <v>155</v>
      </c>
      <c r="J19" s="13"/>
      <c r="K19" s="2"/>
      <c r="L19" s="2"/>
    </row>
    <row r="20" spans="1:12" ht="18.75" x14ac:dyDescent="0.3">
      <c r="A20" s="6" t="s">
        <v>10</v>
      </c>
      <c r="B20" s="5"/>
      <c r="C20" s="4"/>
      <c r="D20" s="4" t="s">
        <v>38</v>
      </c>
      <c r="E20" s="33"/>
      <c r="F20" s="33"/>
      <c r="G20" s="14" t="s">
        <v>52</v>
      </c>
      <c r="H20" s="33" t="s">
        <v>155</v>
      </c>
      <c r="I20" s="33" t="s">
        <v>155</v>
      </c>
      <c r="J20" s="13"/>
      <c r="K20" s="2"/>
      <c r="L20" s="2"/>
    </row>
    <row r="21" spans="1:12" ht="18.75" x14ac:dyDescent="0.3">
      <c r="A21" s="6" t="s">
        <v>8</v>
      </c>
      <c r="B21" s="5"/>
      <c r="C21" s="4"/>
      <c r="D21" s="4" t="s">
        <v>31</v>
      </c>
      <c r="E21" s="33"/>
      <c r="F21" s="33"/>
      <c r="G21" s="13" t="s">
        <v>29</v>
      </c>
      <c r="H21" s="33" t="s">
        <v>155</v>
      </c>
      <c r="I21" s="33" t="s">
        <v>155</v>
      </c>
      <c r="J21" s="13"/>
      <c r="K21" s="2"/>
      <c r="L21" s="2"/>
    </row>
    <row r="22" spans="1:12" ht="24.75" customHeight="1" x14ac:dyDescent="0.3">
      <c r="A22" s="6" t="s">
        <v>11</v>
      </c>
      <c r="B22" s="5"/>
      <c r="C22" s="4"/>
      <c r="D22" s="15" t="s">
        <v>39</v>
      </c>
      <c r="E22" s="33"/>
      <c r="F22" s="33"/>
      <c r="G22" s="14" t="s">
        <v>52</v>
      </c>
      <c r="H22" s="33" t="s">
        <v>155</v>
      </c>
      <c r="I22" s="33" t="s">
        <v>155</v>
      </c>
      <c r="J22" s="13"/>
      <c r="K22" s="2"/>
      <c r="L22" s="2"/>
    </row>
    <row r="23" spans="1:12" ht="18.75" x14ac:dyDescent="0.3">
      <c r="A23" s="6"/>
      <c r="B23" s="5"/>
      <c r="C23" s="4"/>
      <c r="D23" s="15" t="s">
        <v>186</v>
      </c>
      <c r="E23" s="33"/>
      <c r="F23" s="12">
        <v>62</v>
      </c>
      <c r="G23" s="14" t="s">
        <v>114</v>
      </c>
      <c r="H23" s="31">
        <f>235600/F23</f>
        <v>3800</v>
      </c>
      <c r="I23" s="64">
        <f>F23*H23</f>
        <v>235600</v>
      </c>
      <c r="J23" s="13" t="s">
        <v>119</v>
      </c>
      <c r="L23" s="2"/>
    </row>
    <row r="24" spans="1:12" ht="32.25" x14ac:dyDescent="0.3">
      <c r="A24" s="6" t="s">
        <v>55</v>
      </c>
      <c r="B24" s="5"/>
      <c r="C24" s="4"/>
      <c r="D24" s="15" t="s">
        <v>94</v>
      </c>
      <c r="E24" s="33" t="s">
        <v>155</v>
      </c>
      <c r="F24" s="33" t="s">
        <v>155</v>
      </c>
      <c r="G24" s="14" t="s">
        <v>52</v>
      </c>
      <c r="H24" s="33" t="s">
        <v>155</v>
      </c>
      <c r="I24" s="33" t="s">
        <v>155</v>
      </c>
      <c r="J24" s="5"/>
      <c r="L24" s="2"/>
    </row>
    <row r="25" spans="1:12" ht="32.25" x14ac:dyDescent="0.3">
      <c r="A25" s="6" t="s">
        <v>13</v>
      </c>
      <c r="B25" s="5"/>
      <c r="C25" s="4"/>
      <c r="D25" s="15" t="s">
        <v>93</v>
      </c>
      <c r="E25" s="33" t="s">
        <v>155</v>
      </c>
      <c r="F25" s="33" t="s">
        <v>155</v>
      </c>
      <c r="G25" s="14" t="s">
        <v>53</v>
      </c>
      <c r="H25" s="33" t="s">
        <v>155</v>
      </c>
      <c r="I25" s="33" t="s">
        <v>155</v>
      </c>
      <c r="J25" s="5"/>
      <c r="L25" s="2"/>
    </row>
    <row r="26" spans="1:12" ht="18.75" x14ac:dyDescent="0.3">
      <c r="A26" s="6" t="s">
        <v>14</v>
      </c>
      <c r="B26" s="5"/>
      <c r="C26" s="4"/>
      <c r="D26" s="4" t="s">
        <v>41</v>
      </c>
      <c r="E26" s="33" t="s">
        <v>155</v>
      </c>
      <c r="F26" s="33" t="s">
        <v>155</v>
      </c>
      <c r="G26" s="14" t="s">
        <v>53</v>
      </c>
      <c r="H26" s="33" t="s">
        <v>155</v>
      </c>
      <c r="I26" s="33" t="s">
        <v>155</v>
      </c>
      <c r="J26" s="5"/>
      <c r="L26" s="2"/>
    </row>
    <row r="27" spans="1:12" ht="18.75" x14ac:dyDescent="0.3">
      <c r="A27" s="6" t="s">
        <v>15</v>
      </c>
      <c r="B27" s="5"/>
      <c r="C27" s="4"/>
      <c r="D27" s="4" t="s">
        <v>42</v>
      </c>
      <c r="E27" s="33" t="s">
        <v>155</v>
      </c>
      <c r="F27" s="33" t="s">
        <v>155</v>
      </c>
      <c r="G27" s="14" t="s">
        <v>52</v>
      </c>
      <c r="H27" s="33" t="s">
        <v>155</v>
      </c>
      <c r="I27" s="33" t="s">
        <v>155</v>
      </c>
      <c r="J27" s="5"/>
      <c r="L27" s="2"/>
    </row>
    <row r="28" spans="1:12" ht="18.75" x14ac:dyDescent="0.3">
      <c r="A28" s="6" t="s">
        <v>16</v>
      </c>
      <c r="B28" s="5"/>
      <c r="C28" s="4"/>
      <c r="D28" s="4" t="s">
        <v>43</v>
      </c>
      <c r="E28" s="33" t="s">
        <v>155</v>
      </c>
      <c r="F28" s="33" t="s">
        <v>155</v>
      </c>
      <c r="G28" s="13" t="s">
        <v>29</v>
      </c>
      <c r="H28" s="33" t="s">
        <v>155</v>
      </c>
      <c r="I28" s="33" t="s">
        <v>155</v>
      </c>
      <c r="J28" s="5"/>
      <c r="L28" s="2"/>
    </row>
    <row r="29" spans="1:12" ht="18.75" x14ac:dyDescent="0.3">
      <c r="A29" s="6" t="s">
        <v>17</v>
      </c>
      <c r="B29" s="5"/>
      <c r="C29" s="4"/>
      <c r="D29" s="4" t="s">
        <v>44</v>
      </c>
      <c r="E29" s="33" t="s">
        <v>155</v>
      </c>
      <c r="F29" s="33" t="s">
        <v>155</v>
      </c>
      <c r="G29" s="14" t="s">
        <v>53</v>
      </c>
      <c r="H29" s="33" t="s">
        <v>155</v>
      </c>
      <c r="I29" s="33" t="s">
        <v>155</v>
      </c>
      <c r="J29" s="5"/>
      <c r="L29" s="2"/>
    </row>
    <row r="30" spans="1:12" ht="18.75" x14ac:dyDescent="0.3">
      <c r="A30" s="28"/>
      <c r="B30" s="22"/>
      <c r="C30" s="22"/>
      <c r="D30" s="22"/>
      <c r="E30" s="49"/>
      <c r="F30" s="49"/>
      <c r="G30" s="12"/>
      <c r="H30" s="33"/>
      <c r="I30" s="50">
        <f>SUM(I19:I29)</f>
        <v>235600</v>
      </c>
      <c r="J30" s="5"/>
      <c r="L30" s="2"/>
    </row>
    <row r="31" spans="1:12" ht="24" customHeight="1" x14ac:dyDescent="0.3">
      <c r="A31" s="80" t="s">
        <v>85</v>
      </c>
      <c r="B31" s="81"/>
      <c r="C31" s="81"/>
      <c r="D31" s="81"/>
      <c r="E31" s="81"/>
      <c r="F31" s="81"/>
      <c r="G31" s="82"/>
      <c r="H31" s="14"/>
      <c r="I31" s="5"/>
      <c r="J31" s="5"/>
      <c r="L31" s="2"/>
    </row>
    <row r="32" spans="1:12" ht="32.25" customHeight="1" x14ac:dyDescent="0.3">
      <c r="A32" s="6" t="s">
        <v>48</v>
      </c>
      <c r="B32" s="5"/>
      <c r="C32" s="4"/>
      <c r="D32" s="15" t="s">
        <v>149</v>
      </c>
      <c r="E32" s="33"/>
      <c r="F32" s="13"/>
      <c r="G32" s="13" t="s">
        <v>30</v>
      </c>
      <c r="H32" s="13"/>
      <c r="I32" s="13"/>
      <c r="J32" s="13"/>
      <c r="L32" s="2"/>
    </row>
    <row r="33" spans="1:12" ht="32.25" customHeight="1" x14ac:dyDescent="0.3">
      <c r="A33" s="6"/>
      <c r="B33" s="5"/>
      <c r="C33" s="4"/>
      <c r="D33" s="15" t="s">
        <v>181</v>
      </c>
      <c r="E33" s="48"/>
      <c r="F33" s="48">
        <f>6</f>
        <v>6</v>
      </c>
      <c r="G33" s="13" t="s">
        <v>182</v>
      </c>
      <c r="H33" s="58">
        <f>1617/F33</f>
        <v>269.5</v>
      </c>
      <c r="I33" s="65">
        <f t="shared" ref="I33" si="0">F33*H33</f>
        <v>1617</v>
      </c>
      <c r="J33" s="13" t="s">
        <v>122</v>
      </c>
      <c r="L33" s="2"/>
    </row>
    <row r="34" spans="1:12" ht="32.25" x14ac:dyDescent="0.3">
      <c r="A34" s="6" t="s">
        <v>49</v>
      </c>
      <c r="B34" s="5"/>
      <c r="C34" s="4"/>
      <c r="D34" s="15" t="s">
        <v>99</v>
      </c>
      <c r="E34" s="33" t="s">
        <v>155</v>
      </c>
      <c r="F34" s="33" t="s">
        <v>155</v>
      </c>
      <c r="G34" s="13" t="s">
        <v>53</v>
      </c>
      <c r="H34" s="33" t="s">
        <v>155</v>
      </c>
      <c r="I34" s="33" t="s">
        <v>155</v>
      </c>
      <c r="J34" s="13"/>
      <c r="L34" s="2"/>
    </row>
    <row r="35" spans="1:12" ht="32.25" x14ac:dyDescent="0.3">
      <c r="A35" s="6" t="s">
        <v>57</v>
      </c>
      <c r="B35" s="8"/>
      <c r="C35" s="4"/>
      <c r="D35" s="15" t="s">
        <v>45</v>
      </c>
      <c r="E35" s="33" t="s">
        <v>155</v>
      </c>
      <c r="F35" s="33" t="s">
        <v>155</v>
      </c>
      <c r="G35" s="14" t="s">
        <v>52</v>
      </c>
      <c r="H35" s="33" t="s">
        <v>155</v>
      </c>
      <c r="I35" s="33" t="s">
        <v>155</v>
      </c>
      <c r="J35" s="5"/>
      <c r="L35" s="2"/>
    </row>
    <row r="36" spans="1:12" ht="18.75" x14ac:dyDescent="0.3">
      <c r="A36" s="6" t="s">
        <v>59</v>
      </c>
      <c r="B36" s="5"/>
      <c r="C36" s="4"/>
      <c r="D36" s="15" t="s">
        <v>50</v>
      </c>
      <c r="E36" s="33" t="s">
        <v>155</v>
      </c>
      <c r="F36" s="33" t="s">
        <v>155</v>
      </c>
      <c r="G36" s="14" t="s">
        <v>52</v>
      </c>
      <c r="H36" s="33" t="s">
        <v>155</v>
      </c>
      <c r="I36" s="33" t="s">
        <v>155</v>
      </c>
      <c r="J36" s="5"/>
      <c r="L36" s="2"/>
    </row>
    <row r="37" spans="1:12" ht="32.25" x14ac:dyDescent="0.3">
      <c r="A37" s="6"/>
      <c r="B37" s="5"/>
      <c r="C37" s="4"/>
      <c r="D37" s="15" t="s">
        <v>179</v>
      </c>
      <c r="E37" s="33"/>
      <c r="F37" s="33">
        <f>13</f>
        <v>13</v>
      </c>
      <c r="G37" s="14" t="s">
        <v>29</v>
      </c>
      <c r="H37" s="50">
        <f>53162.4/F37</f>
        <v>4089.4153846153849</v>
      </c>
      <c r="I37" s="66">
        <f>F37*H37</f>
        <v>53162.400000000001</v>
      </c>
      <c r="J37" s="13" t="s">
        <v>119</v>
      </c>
      <c r="L37" s="2"/>
    </row>
    <row r="38" spans="1:12" ht="32.25" x14ac:dyDescent="0.3">
      <c r="A38" s="6"/>
      <c r="B38" s="5"/>
      <c r="C38" s="4"/>
      <c r="D38" s="15" t="s">
        <v>180</v>
      </c>
      <c r="E38" s="33"/>
      <c r="F38" s="33">
        <v>13</v>
      </c>
      <c r="G38" s="14" t="s">
        <v>29</v>
      </c>
      <c r="H38" s="50">
        <f>-48714.8/F38</f>
        <v>-3747.292307692308</v>
      </c>
      <c r="I38" s="66">
        <f>F38*H38</f>
        <v>-48714.8</v>
      </c>
      <c r="J38" s="13" t="s">
        <v>119</v>
      </c>
      <c r="L38" s="2"/>
    </row>
    <row r="39" spans="1:12" ht="32.25" x14ac:dyDescent="0.3">
      <c r="A39" s="6" t="s">
        <v>60</v>
      </c>
      <c r="B39" s="5"/>
      <c r="C39" s="4"/>
      <c r="D39" s="15" t="s">
        <v>62</v>
      </c>
      <c r="E39" s="33" t="s">
        <v>155</v>
      </c>
      <c r="F39" s="33" t="s">
        <v>155</v>
      </c>
      <c r="G39" s="13" t="s">
        <v>29</v>
      </c>
      <c r="H39" s="33" t="s">
        <v>155</v>
      </c>
      <c r="I39" s="33" t="s">
        <v>155</v>
      </c>
      <c r="J39" s="5"/>
      <c r="L39" s="2"/>
    </row>
    <row r="40" spans="1:12" ht="18.75" x14ac:dyDescent="0.3">
      <c r="A40" s="6" t="s">
        <v>56</v>
      </c>
      <c r="B40" s="8"/>
      <c r="C40" s="4"/>
      <c r="D40" s="4" t="s">
        <v>46</v>
      </c>
      <c r="E40" s="33" t="s">
        <v>155</v>
      </c>
      <c r="F40" s="33" t="s">
        <v>155</v>
      </c>
      <c r="G40" s="14" t="s">
        <v>52</v>
      </c>
      <c r="H40" s="33" t="s">
        <v>155</v>
      </c>
      <c r="I40" s="33" t="s">
        <v>155</v>
      </c>
      <c r="J40" s="5"/>
      <c r="L40" s="2"/>
    </row>
    <row r="41" spans="1:12" ht="24" customHeight="1" x14ac:dyDescent="0.3">
      <c r="A41" s="6" t="s">
        <v>58</v>
      </c>
      <c r="B41" s="8"/>
      <c r="C41" s="4"/>
      <c r="D41" s="4" t="s">
        <v>47</v>
      </c>
      <c r="E41" s="33" t="s">
        <v>155</v>
      </c>
      <c r="F41" s="33" t="s">
        <v>155</v>
      </c>
      <c r="G41" s="14" t="s">
        <v>52</v>
      </c>
      <c r="H41" s="33" t="s">
        <v>155</v>
      </c>
      <c r="I41" s="33" t="s">
        <v>155</v>
      </c>
      <c r="J41" s="5"/>
      <c r="L41" s="2"/>
    </row>
    <row r="42" spans="1:12" ht="18.75" x14ac:dyDescent="0.3">
      <c r="A42" s="6" t="s">
        <v>63</v>
      </c>
      <c r="B42" s="5"/>
      <c r="C42" s="4"/>
      <c r="D42" s="4" t="s">
        <v>92</v>
      </c>
      <c r="E42" s="33" t="s">
        <v>155</v>
      </c>
      <c r="F42" s="33" t="s">
        <v>155</v>
      </c>
      <c r="G42" s="14" t="s">
        <v>53</v>
      </c>
      <c r="H42" s="33" t="s">
        <v>155</v>
      </c>
      <c r="I42" s="33" t="s">
        <v>155</v>
      </c>
      <c r="J42" s="5"/>
      <c r="L42" s="2"/>
    </row>
    <row r="43" spans="1:12" ht="18.75" x14ac:dyDescent="0.3">
      <c r="A43" s="28"/>
      <c r="B43" s="22"/>
      <c r="C43" s="22"/>
      <c r="D43" s="22"/>
      <c r="E43" s="49"/>
      <c r="F43" s="49"/>
      <c r="G43" s="12"/>
      <c r="H43" s="33"/>
      <c r="I43" s="50">
        <f>SUM(I32:I42)</f>
        <v>6064.5999999999985</v>
      </c>
      <c r="J43" s="5"/>
      <c r="L43" s="2"/>
    </row>
    <row r="44" spans="1:12" ht="18.75" x14ac:dyDescent="0.3">
      <c r="A44" s="80" t="s">
        <v>65</v>
      </c>
      <c r="B44" s="81"/>
      <c r="C44" s="81"/>
      <c r="D44" s="81"/>
      <c r="E44" s="81"/>
      <c r="F44" s="81"/>
      <c r="G44" s="82"/>
      <c r="H44" s="18"/>
      <c r="I44" s="5"/>
      <c r="J44" s="5"/>
      <c r="L44" s="2"/>
    </row>
    <row r="45" spans="1:12" ht="37.5" x14ac:dyDescent="0.25">
      <c r="A45" s="9" t="s">
        <v>28</v>
      </c>
      <c r="B45" s="8"/>
      <c r="C45" s="4"/>
      <c r="D45" s="15" t="s">
        <v>113</v>
      </c>
      <c r="E45" s="33" t="s">
        <v>155</v>
      </c>
      <c r="F45" s="33" t="s">
        <v>155</v>
      </c>
      <c r="G45" s="13" t="s">
        <v>53</v>
      </c>
      <c r="H45" s="33" t="s">
        <v>155</v>
      </c>
      <c r="I45" s="33" t="s">
        <v>155</v>
      </c>
      <c r="J45" s="13"/>
      <c r="L45" s="2"/>
    </row>
    <row r="46" spans="1:12" ht="46.5" customHeight="1" x14ac:dyDescent="0.25">
      <c r="A46" s="9" t="s">
        <v>91</v>
      </c>
      <c r="B46" s="8"/>
      <c r="C46" s="4"/>
      <c r="D46" s="15" t="s">
        <v>128</v>
      </c>
      <c r="E46" s="33"/>
      <c r="F46" s="13">
        <f>497</f>
        <v>497</v>
      </c>
      <c r="G46" s="13" t="s">
        <v>114</v>
      </c>
      <c r="H46" s="34">
        <f>(2324.6+2324.6+2324.6+2339.8+2339.8+2339.8+2431.8+2431.8+2431.8+2462.4+2462.4)/F46</f>
        <v>52.743259557344061</v>
      </c>
      <c r="I46" s="34">
        <f t="shared" ref="I46:I54" si="1">F46*H46</f>
        <v>26213.399999999998</v>
      </c>
      <c r="J46" s="13" t="s">
        <v>117</v>
      </c>
      <c r="L46" s="2"/>
    </row>
    <row r="47" spans="1:12" ht="46.5" customHeight="1" x14ac:dyDescent="0.25">
      <c r="A47" s="9"/>
      <c r="B47" s="8"/>
      <c r="C47" s="4"/>
      <c r="D47" s="15" t="s">
        <v>153</v>
      </c>
      <c r="E47" s="33"/>
      <c r="F47" s="13">
        <f>2</f>
        <v>2</v>
      </c>
      <c r="G47" s="13" t="s">
        <v>29</v>
      </c>
      <c r="H47" s="13">
        <f>2299.8/F47</f>
        <v>1149.9000000000001</v>
      </c>
      <c r="I47" s="61">
        <f>F47*H47</f>
        <v>2299.8000000000002</v>
      </c>
      <c r="J47" s="13" t="s">
        <v>122</v>
      </c>
      <c r="L47" s="2"/>
    </row>
    <row r="48" spans="1:12" ht="46.5" customHeight="1" x14ac:dyDescent="0.25">
      <c r="A48" s="9"/>
      <c r="B48" s="8"/>
      <c r="C48" s="4"/>
      <c r="D48" s="15" t="s">
        <v>171</v>
      </c>
      <c r="E48" s="33"/>
      <c r="F48" s="13">
        <f>1.5</f>
        <v>1.5</v>
      </c>
      <c r="G48" s="13" t="s">
        <v>29</v>
      </c>
      <c r="H48" s="34">
        <f>3226/F48</f>
        <v>2150.6666666666665</v>
      </c>
      <c r="I48" s="61">
        <f t="shared" si="1"/>
        <v>3226</v>
      </c>
      <c r="J48" s="13" t="s">
        <v>124</v>
      </c>
      <c r="L48" s="2"/>
    </row>
    <row r="49" spans="1:12" ht="46.5" customHeight="1" x14ac:dyDescent="0.25">
      <c r="A49" s="9"/>
      <c r="B49" s="8"/>
      <c r="C49" s="4"/>
      <c r="D49" s="15" t="s">
        <v>184</v>
      </c>
      <c r="E49" s="33"/>
      <c r="F49" s="13">
        <v>1</v>
      </c>
      <c r="G49" s="13" t="s">
        <v>154</v>
      </c>
      <c r="H49" s="34">
        <f>7407.4/F49</f>
        <v>7407.4</v>
      </c>
      <c r="I49" s="61">
        <f t="shared" si="1"/>
        <v>7407.4</v>
      </c>
      <c r="J49" s="13" t="s">
        <v>122</v>
      </c>
      <c r="L49" s="2"/>
    </row>
    <row r="50" spans="1:12" ht="46.5" customHeight="1" x14ac:dyDescent="0.25">
      <c r="A50" s="9"/>
      <c r="B50" s="8"/>
      <c r="C50" s="4"/>
      <c r="D50" s="15" t="s">
        <v>163</v>
      </c>
      <c r="E50" s="48" t="s">
        <v>155</v>
      </c>
      <c r="F50" s="48">
        <f>1</f>
        <v>1</v>
      </c>
      <c r="G50" s="13" t="s">
        <v>29</v>
      </c>
      <c r="H50" s="58">
        <f>374.2/F50</f>
        <v>374.2</v>
      </c>
      <c r="I50" s="65">
        <f t="shared" si="1"/>
        <v>374.2</v>
      </c>
      <c r="J50" s="13" t="s">
        <v>119</v>
      </c>
      <c r="L50" s="2"/>
    </row>
    <row r="51" spans="1:12" ht="91.5" customHeight="1" x14ac:dyDescent="0.25">
      <c r="A51" s="9"/>
      <c r="B51" s="8"/>
      <c r="C51" s="4"/>
      <c r="D51" s="15" t="s">
        <v>164</v>
      </c>
      <c r="E51" s="48" t="s">
        <v>155</v>
      </c>
      <c r="F51" s="48">
        <f>3</f>
        <v>3</v>
      </c>
      <c r="G51" s="13" t="s">
        <v>161</v>
      </c>
      <c r="H51" s="58">
        <f>113.4/F51</f>
        <v>37.800000000000004</v>
      </c>
      <c r="I51" s="65">
        <f t="shared" si="1"/>
        <v>113.4</v>
      </c>
      <c r="J51" s="13" t="s">
        <v>119</v>
      </c>
      <c r="L51" s="2"/>
    </row>
    <row r="52" spans="1:12" ht="46.5" customHeight="1" x14ac:dyDescent="0.25">
      <c r="A52" s="9"/>
      <c r="B52" s="8"/>
      <c r="C52" s="4"/>
      <c r="D52" s="15" t="s">
        <v>165</v>
      </c>
      <c r="E52" s="48" t="s">
        <v>155</v>
      </c>
      <c r="F52" s="48">
        <f>1</f>
        <v>1</v>
      </c>
      <c r="G52" s="13" t="s">
        <v>29</v>
      </c>
      <c r="H52" s="58">
        <f>1798.6/F52</f>
        <v>1798.6</v>
      </c>
      <c r="I52" s="65">
        <f t="shared" si="1"/>
        <v>1798.6</v>
      </c>
      <c r="J52" s="13" t="s">
        <v>119</v>
      </c>
      <c r="L52" s="2"/>
    </row>
    <row r="53" spans="1:12" ht="46.5" customHeight="1" x14ac:dyDescent="0.25">
      <c r="A53" s="9"/>
      <c r="B53" s="8"/>
      <c r="C53" s="4"/>
      <c r="D53" s="15" t="s">
        <v>147</v>
      </c>
      <c r="E53" s="33"/>
      <c r="F53" s="13">
        <f>2+1+1</f>
        <v>4</v>
      </c>
      <c r="G53" s="13" t="s">
        <v>30</v>
      </c>
      <c r="H53" s="13">
        <f>(2870.2+1452.8+1532.6)/F53</f>
        <v>1463.9</v>
      </c>
      <c r="I53" s="34">
        <f>F53*H53</f>
        <v>5855.6</v>
      </c>
      <c r="J53" s="13"/>
      <c r="L53" s="2"/>
    </row>
    <row r="54" spans="1:12" ht="46.5" customHeight="1" x14ac:dyDescent="0.25">
      <c r="A54" s="9"/>
      <c r="B54" s="8"/>
      <c r="C54" s="4"/>
      <c r="D54" s="15" t="s">
        <v>112</v>
      </c>
      <c r="E54" s="33"/>
      <c r="F54" s="13">
        <f>859</f>
        <v>859</v>
      </c>
      <c r="G54" s="13" t="s">
        <v>29</v>
      </c>
      <c r="H54" s="34">
        <f>78476.2/F54</f>
        <v>91.357625145518043</v>
      </c>
      <c r="I54" s="34">
        <f t="shared" si="1"/>
        <v>78476.2</v>
      </c>
      <c r="J54" s="13" t="s">
        <v>119</v>
      </c>
      <c r="L54" s="2"/>
    </row>
    <row r="55" spans="1:12" ht="46.5" customHeight="1" x14ac:dyDescent="0.25">
      <c r="A55" s="9"/>
      <c r="B55" s="8"/>
      <c r="C55" s="4"/>
      <c r="D55" s="15" t="s">
        <v>146</v>
      </c>
      <c r="E55" s="33"/>
      <c r="F55" s="33">
        <v>2</v>
      </c>
      <c r="G55" s="13" t="s">
        <v>30</v>
      </c>
      <c r="H55" s="33">
        <f>(2908.8)/F55</f>
        <v>1454.4</v>
      </c>
      <c r="I55" s="66">
        <f>F55*H55</f>
        <v>2908.8</v>
      </c>
      <c r="J55" s="13" t="s">
        <v>119</v>
      </c>
      <c r="L55" s="2"/>
    </row>
    <row r="56" spans="1:12" ht="46.5" customHeight="1" x14ac:dyDescent="0.25">
      <c r="A56" s="9"/>
      <c r="B56" s="8"/>
      <c r="C56" s="4"/>
      <c r="D56" s="15" t="s">
        <v>183</v>
      </c>
      <c r="E56" s="33"/>
      <c r="F56" s="33">
        <f>1</f>
        <v>1</v>
      </c>
      <c r="G56" s="13" t="s">
        <v>30</v>
      </c>
      <c r="H56" s="50">
        <f>554/F56</f>
        <v>554</v>
      </c>
      <c r="I56" s="66">
        <f>F56*H56</f>
        <v>554</v>
      </c>
      <c r="J56" s="13" t="s">
        <v>160</v>
      </c>
      <c r="L56" s="2"/>
    </row>
    <row r="57" spans="1:12" ht="46.5" customHeight="1" x14ac:dyDescent="0.25">
      <c r="A57" s="9"/>
      <c r="B57" s="8"/>
      <c r="C57" s="4"/>
      <c r="D57" s="15" t="s">
        <v>172</v>
      </c>
      <c r="E57" s="33"/>
      <c r="F57" s="33">
        <v>1</v>
      </c>
      <c r="G57" s="13" t="s">
        <v>30</v>
      </c>
      <c r="H57" s="33">
        <f>4021.6/F57</f>
        <v>4021.6</v>
      </c>
      <c r="I57" s="66">
        <f>F57*H57</f>
        <v>4021.6</v>
      </c>
      <c r="J57" s="13" t="s">
        <v>124</v>
      </c>
      <c r="L57" s="2"/>
    </row>
    <row r="58" spans="1:12" ht="18.75" x14ac:dyDescent="0.25">
      <c r="A58" s="9" t="s">
        <v>82</v>
      </c>
      <c r="B58" s="8"/>
      <c r="C58" s="4"/>
      <c r="D58" s="15" t="s">
        <v>173</v>
      </c>
      <c r="E58" s="33"/>
      <c r="F58" s="33">
        <f>2</f>
        <v>2</v>
      </c>
      <c r="G58" s="13" t="s">
        <v>53</v>
      </c>
      <c r="H58" s="33">
        <f>(13240)/F58</f>
        <v>6620</v>
      </c>
      <c r="I58" s="66">
        <f>F58*H58</f>
        <v>13240</v>
      </c>
      <c r="J58" s="13" t="s">
        <v>124</v>
      </c>
      <c r="L58" s="2"/>
    </row>
    <row r="59" spans="1:12" ht="18.75" x14ac:dyDescent="0.25">
      <c r="A59" s="9"/>
      <c r="B59" s="8"/>
      <c r="C59" s="4"/>
      <c r="D59" s="15" t="s">
        <v>185</v>
      </c>
      <c r="E59" s="33"/>
      <c r="F59" s="13">
        <f>1+1</f>
        <v>2</v>
      </c>
      <c r="G59" s="13" t="s">
        <v>30</v>
      </c>
      <c r="H59" s="34">
        <f>(1350.8+1350.8)/F59</f>
        <v>1350.8</v>
      </c>
      <c r="I59" s="67">
        <f t="shared" ref="I59" si="2">F59*H59</f>
        <v>2701.6</v>
      </c>
      <c r="J59" s="13" t="s">
        <v>119</v>
      </c>
      <c r="L59" s="2"/>
    </row>
    <row r="60" spans="1:12" ht="18.75" x14ac:dyDescent="0.25">
      <c r="A60" s="9"/>
      <c r="B60" s="8"/>
      <c r="C60" s="4"/>
      <c r="D60" s="15" t="s">
        <v>141</v>
      </c>
      <c r="E60" s="33"/>
      <c r="F60" s="13">
        <f>1+1</f>
        <v>2</v>
      </c>
      <c r="G60" s="13" t="s">
        <v>30</v>
      </c>
      <c r="H60" s="13">
        <f>(8951.2+9420.2)/F60</f>
        <v>9185.7000000000007</v>
      </c>
      <c r="I60" s="13">
        <f>F60*H60</f>
        <v>18371.400000000001</v>
      </c>
      <c r="J60" s="13" t="s">
        <v>119</v>
      </c>
      <c r="L60" s="2"/>
    </row>
    <row r="61" spans="1:12" ht="18.75" x14ac:dyDescent="0.25">
      <c r="A61" s="9"/>
      <c r="B61" s="8"/>
      <c r="C61" s="4"/>
      <c r="D61" s="15" t="s">
        <v>142</v>
      </c>
      <c r="E61" s="33"/>
      <c r="F61" s="13">
        <f>1+1</f>
        <v>2</v>
      </c>
      <c r="G61" s="13" t="s">
        <v>143</v>
      </c>
      <c r="H61" s="13">
        <f>(16114.6+16965)/F61</f>
        <v>16539.8</v>
      </c>
      <c r="I61" s="13">
        <f>F61*H61</f>
        <v>33079.599999999999</v>
      </c>
      <c r="J61" s="13" t="s">
        <v>119</v>
      </c>
      <c r="L61" s="2"/>
    </row>
    <row r="62" spans="1:12" ht="18.75" x14ac:dyDescent="0.25">
      <c r="A62" s="9"/>
      <c r="B62" s="8"/>
      <c r="C62" s="4"/>
      <c r="D62" s="15" t="s">
        <v>144</v>
      </c>
      <c r="E62" s="33"/>
      <c r="F62" s="13">
        <f>2+2</f>
        <v>4</v>
      </c>
      <c r="G62" s="13" t="s">
        <v>30</v>
      </c>
      <c r="H62" s="13">
        <f>(3004.4+3120.6)/F62</f>
        <v>1531.25</v>
      </c>
      <c r="I62" s="13">
        <f t="shared" ref="I62:I63" si="3">F62*H62</f>
        <v>6125</v>
      </c>
      <c r="J62" s="13" t="s">
        <v>119</v>
      </c>
      <c r="L62" s="2"/>
    </row>
    <row r="63" spans="1:12" ht="18.75" x14ac:dyDescent="0.25">
      <c r="A63" s="9"/>
      <c r="B63" s="8"/>
      <c r="C63" s="4"/>
      <c r="D63" s="15" t="s">
        <v>145</v>
      </c>
      <c r="E63" s="33"/>
      <c r="F63" s="13">
        <f>2+2</f>
        <v>4</v>
      </c>
      <c r="G63" s="13" t="s">
        <v>30</v>
      </c>
      <c r="H63" s="13">
        <f>(8274.2+8585.4)/F63</f>
        <v>4214.8999999999996</v>
      </c>
      <c r="I63" s="13">
        <f t="shared" si="3"/>
        <v>16859.599999999999</v>
      </c>
      <c r="J63" s="13" t="s">
        <v>119</v>
      </c>
      <c r="L63" s="2"/>
    </row>
    <row r="64" spans="1:12" ht="18.75" x14ac:dyDescent="0.25">
      <c r="A64" s="9"/>
      <c r="B64" s="8"/>
      <c r="C64" s="4"/>
      <c r="D64" s="15" t="s">
        <v>146</v>
      </c>
      <c r="E64" s="33"/>
      <c r="F64" s="13"/>
      <c r="G64" s="13" t="s">
        <v>30</v>
      </c>
      <c r="H64" s="13"/>
      <c r="I64" s="13"/>
      <c r="J64" s="13"/>
      <c r="L64" s="2"/>
    </row>
    <row r="65" spans="1:12" ht="18.75" x14ac:dyDescent="0.25">
      <c r="A65" s="9" t="s">
        <v>19</v>
      </c>
      <c r="B65" s="8"/>
      <c r="C65" s="4"/>
      <c r="D65" s="15" t="s">
        <v>66</v>
      </c>
      <c r="E65" s="33" t="s">
        <v>155</v>
      </c>
      <c r="F65" s="33" t="s">
        <v>155</v>
      </c>
      <c r="G65" s="13" t="s">
        <v>29</v>
      </c>
      <c r="H65" s="33"/>
      <c r="I65" s="33" t="s">
        <v>155</v>
      </c>
      <c r="J65" s="13"/>
      <c r="L65" s="2"/>
    </row>
    <row r="66" spans="1:12" ht="31.5" x14ac:dyDescent="0.25">
      <c r="A66" s="9" t="s">
        <v>20</v>
      </c>
      <c r="B66" s="8"/>
      <c r="C66" s="4"/>
      <c r="D66" s="15" t="s">
        <v>68</v>
      </c>
      <c r="E66" s="33" t="s">
        <v>155</v>
      </c>
      <c r="F66" s="33" t="s">
        <v>155</v>
      </c>
      <c r="G66" s="13" t="s">
        <v>53</v>
      </c>
      <c r="H66" s="33"/>
      <c r="I66" s="33" t="s">
        <v>155</v>
      </c>
      <c r="J66" s="13"/>
      <c r="L66" s="2"/>
    </row>
    <row r="67" spans="1:12" ht="18.75" x14ac:dyDescent="0.25">
      <c r="A67" s="51"/>
      <c r="B67" s="52"/>
      <c r="C67" s="22"/>
      <c r="D67" s="30"/>
      <c r="E67" s="49"/>
      <c r="F67" s="49"/>
      <c r="G67" s="31"/>
      <c r="H67" s="33"/>
      <c r="I67" s="50">
        <f>SUM(I46:I66)</f>
        <v>223626.2</v>
      </c>
      <c r="J67" s="13"/>
      <c r="L67" s="2"/>
    </row>
    <row r="68" spans="1:12" ht="18.75" x14ac:dyDescent="0.3">
      <c r="A68" s="76" t="s">
        <v>69</v>
      </c>
      <c r="B68" s="77"/>
      <c r="C68" s="77"/>
      <c r="D68" s="77"/>
      <c r="E68" s="77"/>
      <c r="F68" s="77"/>
      <c r="G68" s="78"/>
      <c r="H68" s="19"/>
      <c r="I68" s="5"/>
      <c r="J68" s="5"/>
      <c r="L68" s="2"/>
    </row>
    <row r="69" spans="1:12" ht="37.5" x14ac:dyDescent="0.25">
      <c r="A69" s="9" t="s">
        <v>91</v>
      </c>
      <c r="B69" s="8"/>
      <c r="C69" s="4"/>
      <c r="D69" s="4" t="s">
        <v>131</v>
      </c>
      <c r="E69" s="31"/>
      <c r="F69" s="13">
        <f>2+1+1+2+1+2+1+1+4+4+5</f>
        <v>24</v>
      </c>
      <c r="G69" s="13" t="s">
        <v>116</v>
      </c>
      <c r="H69" s="34">
        <f>(1402.8+702.4+705.8+1412.8+705.4+1468+734+734+2972.8+2972.8+3718)/F69/3</f>
        <v>243.45555555555555</v>
      </c>
      <c r="I69" s="34">
        <f>F69*H69</f>
        <v>5842.9333333333334</v>
      </c>
      <c r="J69" s="13" t="s">
        <v>122</v>
      </c>
      <c r="L69" s="2"/>
    </row>
    <row r="70" spans="1:12" ht="47.25" x14ac:dyDescent="0.25">
      <c r="A70" s="9"/>
      <c r="B70" s="8"/>
      <c r="C70" s="4"/>
      <c r="D70" s="15" t="s">
        <v>187</v>
      </c>
      <c r="E70" s="33"/>
      <c r="F70" s="13">
        <f>3</f>
        <v>3</v>
      </c>
      <c r="G70" s="13" t="s">
        <v>154</v>
      </c>
      <c r="H70" s="34">
        <f>22562/F70</f>
        <v>7520.666666666667</v>
      </c>
      <c r="I70" s="61">
        <f t="shared" ref="I70" si="4">F70*H70</f>
        <v>22562</v>
      </c>
      <c r="J70" s="13" t="s">
        <v>160</v>
      </c>
      <c r="L70" s="2"/>
    </row>
    <row r="71" spans="1:12" ht="18.75" x14ac:dyDescent="0.25">
      <c r="A71" s="9"/>
      <c r="B71" s="8"/>
      <c r="C71" s="4"/>
      <c r="D71" s="15" t="s">
        <v>188</v>
      </c>
      <c r="E71" s="33"/>
      <c r="F71" s="33">
        <v>1.2</v>
      </c>
      <c r="G71" s="13" t="s">
        <v>182</v>
      </c>
      <c r="H71" s="33">
        <f>4404.6/F71</f>
        <v>3670.5000000000005</v>
      </c>
      <c r="I71" s="66">
        <f>F71*H71</f>
        <v>4404.6000000000004</v>
      </c>
      <c r="J71" s="13" t="s">
        <v>119</v>
      </c>
      <c r="L71" s="2"/>
    </row>
    <row r="72" spans="1:12" ht="18.75" x14ac:dyDescent="0.25">
      <c r="A72" s="9" t="s">
        <v>82</v>
      </c>
      <c r="B72" s="8"/>
      <c r="C72" s="4"/>
      <c r="D72" s="15" t="s">
        <v>67</v>
      </c>
      <c r="E72" s="33"/>
      <c r="F72" s="33"/>
      <c r="G72" s="13" t="s">
        <v>53</v>
      </c>
      <c r="H72" s="33"/>
      <c r="I72" s="33" t="s">
        <v>155</v>
      </c>
      <c r="J72" s="5"/>
      <c r="L72" s="2"/>
    </row>
    <row r="73" spans="1:12" ht="18.75" x14ac:dyDescent="0.25">
      <c r="A73" s="9"/>
      <c r="B73" s="8"/>
      <c r="C73" s="4"/>
      <c r="D73" s="15" t="s">
        <v>159</v>
      </c>
      <c r="E73" s="33"/>
      <c r="F73" s="33">
        <f>2</f>
        <v>2</v>
      </c>
      <c r="G73" s="13" t="s">
        <v>53</v>
      </c>
      <c r="H73" s="50">
        <f>3007.4/F73</f>
        <v>1503.7</v>
      </c>
      <c r="I73" s="66">
        <f>F73*H73</f>
        <v>3007.4</v>
      </c>
      <c r="J73" s="13" t="s">
        <v>160</v>
      </c>
      <c r="L73" s="2"/>
    </row>
    <row r="74" spans="1:12" ht="31.5" x14ac:dyDescent="0.25">
      <c r="A74" s="9" t="s">
        <v>20</v>
      </c>
      <c r="B74" s="8"/>
      <c r="C74" s="4"/>
      <c r="D74" s="15" t="s">
        <v>68</v>
      </c>
      <c r="E74" s="33"/>
      <c r="F74" s="33"/>
      <c r="G74" s="13" t="s">
        <v>53</v>
      </c>
      <c r="H74" s="33"/>
      <c r="I74" s="33" t="s">
        <v>155</v>
      </c>
      <c r="J74" s="5"/>
      <c r="L74" s="2"/>
    </row>
    <row r="75" spans="1:12" ht="18.75" x14ac:dyDescent="0.25">
      <c r="A75" s="51"/>
      <c r="B75" s="52"/>
      <c r="C75" s="22"/>
      <c r="D75" s="30"/>
      <c r="E75" s="49"/>
      <c r="F75" s="49"/>
      <c r="G75" s="31"/>
      <c r="H75" s="33"/>
      <c r="I75" s="50">
        <f>SUM(I69:I74)</f>
        <v>35816.933333333334</v>
      </c>
      <c r="J75" s="5"/>
      <c r="L75" s="2"/>
    </row>
    <row r="76" spans="1:12" ht="18.75" x14ac:dyDescent="0.3">
      <c r="A76" s="76" t="s">
        <v>70</v>
      </c>
      <c r="B76" s="77"/>
      <c r="C76" s="77"/>
      <c r="D76" s="77"/>
      <c r="E76" s="77"/>
      <c r="F76" s="77"/>
      <c r="G76" s="78"/>
      <c r="H76" s="13"/>
      <c r="I76" s="5"/>
      <c r="J76" s="5"/>
      <c r="L76" s="2"/>
    </row>
    <row r="77" spans="1:12" ht="37.5" x14ac:dyDescent="0.25">
      <c r="A77" s="9" t="s">
        <v>91</v>
      </c>
      <c r="B77" s="8"/>
      <c r="C77" s="4"/>
      <c r="D77" s="4" t="s">
        <v>132</v>
      </c>
      <c r="E77" s="31"/>
      <c r="F77" s="13">
        <f>2+1+1+2+1+2+1+1+4+4+5</f>
        <v>24</v>
      </c>
      <c r="G77" s="13" t="s">
        <v>116</v>
      </c>
      <c r="H77" s="34">
        <f>(1402.8+702.4+705.8+1412.8+705.4+1468+734+734+2972.8+2972.8+3718)/F77/3</f>
        <v>243.45555555555555</v>
      </c>
      <c r="I77" s="34">
        <f>F77*H77</f>
        <v>5842.9333333333334</v>
      </c>
      <c r="J77" s="13" t="s">
        <v>122</v>
      </c>
      <c r="L77" s="2"/>
    </row>
    <row r="78" spans="1:12" ht="18.75" x14ac:dyDescent="0.25">
      <c r="A78" s="9" t="s">
        <v>82</v>
      </c>
      <c r="B78" s="8"/>
      <c r="C78" s="4"/>
      <c r="D78" s="15" t="s">
        <v>67</v>
      </c>
      <c r="E78" s="33" t="s">
        <v>155</v>
      </c>
      <c r="F78" s="33" t="s">
        <v>155</v>
      </c>
      <c r="G78" s="14" t="s">
        <v>53</v>
      </c>
      <c r="H78" s="33" t="s">
        <v>155</v>
      </c>
      <c r="I78" s="33" t="s">
        <v>155</v>
      </c>
      <c r="J78" s="5"/>
      <c r="L78" s="2"/>
    </row>
    <row r="79" spans="1:12" ht="18.75" x14ac:dyDescent="0.25">
      <c r="A79" s="9"/>
      <c r="B79" s="8"/>
      <c r="C79" s="4"/>
      <c r="D79" s="15" t="s">
        <v>159</v>
      </c>
      <c r="E79" s="33"/>
      <c r="F79" s="33">
        <f>2</f>
        <v>2</v>
      </c>
      <c r="G79" s="13" t="s">
        <v>53</v>
      </c>
      <c r="H79" s="50">
        <f>2441.2/F79</f>
        <v>1220.5999999999999</v>
      </c>
      <c r="I79" s="66">
        <f>F79*H79</f>
        <v>2441.1999999999998</v>
      </c>
      <c r="J79" s="5"/>
      <c r="L79" s="2"/>
    </row>
    <row r="80" spans="1:12" ht="31.5" x14ac:dyDescent="0.25">
      <c r="A80" s="9" t="s">
        <v>20</v>
      </c>
      <c r="B80" s="8"/>
      <c r="C80" s="4"/>
      <c r="D80" s="15" t="s">
        <v>68</v>
      </c>
      <c r="E80" s="33" t="s">
        <v>155</v>
      </c>
      <c r="F80" s="33" t="s">
        <v>155</v>
      </c>
      <c r="G80" s="14" t="s">
        <v>53</v>
      </c>
      <c r="H80" s="33" t="s">
        <v>155</v>
      </c>
      <c r="I80" s="33" t="s">
        <v>155</v>
      </c>
      <c r="J80" s="5"/>
      <c r="L80" s="2"/>
    </row>
    <row r="81" spans="1:12" ht="18.75" x14ac:dyDescent="0.25">
      <c r="A81" s="51"/>
      <c r="B81" s="52"/>
      <c r="C81" s="22"/>
      <c r="D81" s="30"/>
      <c r="E81" s="49"/>
      <c r="F81" s="49"/>
      <c r="G81" s="12"/>
      <c r="H81" s="33"/>
      <c r="I81" s="50">
        <f>SUM(I77:I80)</f>
        <v>8284.1333333333332</v>
      </c>
      <c r="J81" s="5"/>
      <c r="L81" s="2"/>
    </row>
    <row r="82" spans="1:12" ht="18.75" x14ac:dyDescent="0.3">
      <c r="A82" s="76" t="s">
        <v>71</v>
      </c>
      <c r="B82" s="77"/>
      <c r="C82" s="77"/>
      <c r="D82" s="77"/>
      <c r="E82" s="77"/>
      <c r="F82" s="77"/>
      <c r="G82" s="78"/>
      <c r="H82" s="19"/>
      <c r="I82" s="5"/>
      <c r="J82" s="5"/>
      <c r="L82" s="2"/>
    </row>
    <row r="83" spans="1:12" ht="37.5" x14ac:dyDescent="0.25">
      <c r="A83" s="9" t="s">
        <v>97</v>
      </c>
      <c r="B83" s="8"/>
      <c r="C83" s="4"/>
      <c r="D83" s="4" t="s">
        <v>133</v>
      </c>
      <c r="E83" s="31"/>
      <c r="F83" s="13">
        <f>2+1+1+2+1+2+1+1+4+4+5</f>
        <v>24</v>
      </c>
      <c r="G83" s="13" t="s">
        <v>116</v>
      </c>
      <c r="H83" s="34">
        <f>(1402.8+702.4+705.8+1412.8+705.4+1468+734+734+2972.8+2972.8+3718)/F83/3</f>
        <v>243.45555555555555</v>
      </c>
      <c r="I83" s="34">
        <f>F83*H83</f>
        <v>5842.9333333333334</v>
      </c>
      <c r="J83" s="13" t="s">
        <v>122</v>
      </c>
      <c r="L83" s="2"/>
    </row>
    <row r="84" spans="1:12" ht="31.5" x14ac:dyDescent="0.25">
      <c r="A84" s="9"/>
      <c r="B84" s="8"/>
      <c r="C84" s="4"/>
      <c r="D84" s="15" t="s">
        <v>123</v>
      </c>
      <c r="E84" s="33"/>
      <c r="F84" s="33">
        <f>3.5</f>
        <v>3.5</v>
      </c>
      <c r="G84" s="13" t="s">
        <v>29</v>
      </c>
      <c r="H84" s="50">
        <f>4723.2/F84</f>
        <v>1349.4857142857143</v>
      </c>
      <c r="I84" s="66">
        <f>F84*H84</f>
        <v>4723.2</v>
      </c>
      <c r="J84" s="13" t="s">
        <v>119</v>
      </c>
      <c r="L84" s="2"/>
    </row>
    <row r="85" spans="1:12" ht="18.75" x14ac:dyDescent="0.25">
      <c r="A85" s="9"/>
      <c r="B85" s="8"/>
      <c r="C85" s="4"/>
      <c r="D85" s="15" t="s">
        <v>170</v>
      </c>
      <c r="E85" s="33"/>
      <c r="F85" s="33">
        <f>80+10</f>
        <v>90</v>
      </c>
      <c r="G85" s="13" t="s">
        <v>137</v>
      </c>
      <c r="H85" s="50">
        <f>(5450+689.6)/F85</f>
        <v>68.217777777777783</v>
      </c>
      <c r="I85" s="71">
        <f>F85*H85</f>
        <v>6139.6</v>
      </c>
      <c r="J85" s="13"/>
      <c r="L85" s="2"/>
    </row>
    <row r="86" spans="1:12" ht="18.75" x14ac:dyDescent="0.25">
      <c r="A86" s="9"/>
      <c r="B86" s="8"/>
      <c r="C86" s="4"/>
      <c r="D86" s="4" t="s">
        <v>115</v>
      </c>
      <c r="E86" s="33"/>
      <c r="F86" s="33">
        <f>6+3</f>
        <v>9</v>
      </c>
      <c r="G86" s="13" t="s">
        <v>29</v>
      </c>
      <c r="H86" s="50">
        <f>(2037.4+1073.4)/F86</f>
        <v>345.64444444444445</v>
      </c>
      <c r="I86" s="33">
        <f>F86*H86</f>
        <v>3110.8</v>
      </c>
      <c r="J86" s="13" t="s">
        <v>117</v>
      </c>
      <c r="L86" s="2"/>
    </row>
    <row r="87" spans="1:12" ht="18.75" x14ac:dyDescent="0.25">
      <c r="A87" s="9"/>
      <c r="B87" s="8"/>
      <c r="C87" s="4"/>
      <c r="D87" s="4" t="s">
        <v>148</v>
      </c>
      <c r="E87" s="33"/>
      <c r="F87" s="33"/>
      <c r="G87" s="13" t="s">
        <v>29</v>
      </c>
      <c r="H87" s="33"/>
      <c r="I87" s="33"/>
      <c r="J87" s="13"/>
      <c r="L87" s="2"/>
    </row>
    <row r="88" spans="1:12" ht="18.75" x14ac:dyDescent="0.25">
      <c r="A88" s="9" t="s">
        <v>21</v>
      </c>
      <c r="B88" s="8"/>
      <c r="C88" s="4"/>
      <c r="D88" s="4" t="s">
        <v>75</v>
      </c>
      <c r="E88" s="33" t="s">
        <v>155</v>
      </c>
      <c r="F88" s="33" t="s">
        <v>155</v>
      </c>
      <c r="G88" s="13" t="s">
        <v>29</v>
      </c>
      <c r="H88" s="33" t="s">
        <v>155</v>
      </c>
      <c r="I88" s="33" t="s">
        <v>155</v>
      </c>
      <c r="J88" s="5"/>
      <c r="L88" s="2"/>
    </row>
    <row r="89" spans="1:12" ht="18.75" x14ac:dyDescent="0.25">
      <c r="A89" s="51"/>
      <c r="B89" s="52"/>
      <c r="C89" s="22"/>
      <c r="D89" s="22"/>
      <c r="E89" s="49"/>
      <c r="F89" s="49"/>
      <c r="G89" s="31"/>
      <c r="H89" s="33"/>
      <c r="I89" s="50">
        <f>SUM(I83:I88)</f>
        <v>19816.533333333333</v>
      </c>
      <c r="J89" s="5"/>
      <c r="L89" s="2"/>
    </row>
    <row r="90" spans="1:12" ht="18.75" x14ac:dyDescent="0.3">
      <c r="A90" s="76" t="s">
        <v>77</v>
      </c>
      <c r="B90" s="77"/>
      <c r="C90" s="77"/>
      <c r="D90" s="77"/>
      <c r="E90" s="77"/>
      <c r="F90" s="77"/>
      <c r="G90" s="78"/>
      <c r="H90" s="5"/>
      <c r="I90" s="5"/>
      <c r="J90" s="5"/>
      <c r="L90" s="2"/>
    </row>
    <row r="91" spans="1:12" ht="38.25" customHeight="1" x14ac:dyDescent="0.25">
      <c r="A91" s="9" t="s">
        <v>22</v>
      </c>
      <c r="B91" s="5"/>
      <c r="C91" s="4"/>
      <c r="D91" s="4" t="s">
        <v>72</v>
      </c>
      <c r="E91" s="33" t="s">
        <v>155</v>
      </c>
      <c r="F91" s="33" t="s">
        <v>155</v>
      </c>
      <c r="G91" s="13" t="s">
        <v>53</v>
      </c>
      <c r="H91" s="33" t="s">
        <v>155</v>
      </c>
      <c r="I91" s="33" t="s">
        <v>155</v>
      </c>
      <c r="J91" s="13"/>
      <c r="L91" s="2"/>
    </row>
    <row r="92" spans="1:12" ht="18.75" x14ac:dyDescent="0.25">
      <c r="A92" s="9" t="s">
        <v>23</v>
      </c>
      <c r="B92" s="5"/>
      <c r="C92" s="4"/>
      <c r="D92" s="4" t="s">
        <v>76</v>
      </c>
      <c r="E92" s="33" t="s">
        <v>155</v>
      </c>
      <c r="F92" s="33" t="s">
        <v>155</v>
      </c>
      <c r="G92" s="13" t="s">
        <v>53</v>
      </c>
      <c r="H92" s="33" t="s">
        <v>155</v>
      </c>
      <c r="I92" s="33" t="s">
        <v>155</v>
      </c>
      <c r="J92" s="13"/>
      <c r="L92" s="2"/>
    </row>
    <row r="93" spans="1:12" ht="31.5" x14ac:dyDescent="0.25">
      <c r="A93" s="9" t="s">
        <v>129</v>
      </c>
      <c r="B93" s="5"/>
      <c r="C93" s="4"/>
      <c r="D93" s="15" t="s">
        <v>121</v>
      </c>
      <c r="E93" s="33" t="s">
        <v>155</v>
      </c>
      <c r="F93" s="33" t="s">
        <v>155</v>
      </c>
      <c r="G93" s="13" t="s">
        <v>53</v>
      </c>
      <c r="H93" s="33" t="s">
        <v>155</v>
      </c>
      <c r="I93" s="33" t="s">
        <v>155</v>
      </c>
      <c r="J93" s="13"/>
      <c r="L93" s="2"/>
    </row>
    <row r="94" spans="1:12" ht="31.5" x14ac:dyDescent="0.25">
      <c r="A94" s="9"/>
      <c r="B94" s="5"/>
      <c r="C94" s="4"/>
      <c r="D94" s="15" t="s">
        <v>130</v>
      </c>
      <c r="E94" s="31"/>
      <c r="F94" s="13"/>
      <c r="G94" s="13" t="s">
        <v>30</v>
      </c>
      <c r="H94" s="13"/>
      <c r="I94" s="13"/>
      <c r="J94" s="13"/>
      <c r="L94" s="2"/>
    </row>
    <row r="95" spans="1:12" ht="18.75" x14ac:dyDescent="0.25">
      <c r="A95" s="9"/>
      <c r="B95" s="5"/>
      <c r="C95" s="4"/>
      <c r="D95" s="15" t="s">
        <v>106</v>
      </c>
      <c r="E95" s="33"/>
      <c r="F95" s="33"/>
      <c r="G95" s="13" t="s">
        <v>53</v>
      </c>
      <c r="H95" s="33" t="s">
        <v>155</v>
      </c>
      <c r="I95" s="33" t="s">
        <v>155</v>
      </c>
      <c r="J95" s="13"/>
      <c r="L95" s="2"/>
    </row>
    <row r="96" spans="1:12" ht="18.75" x14ac:dyDescent="0.25">
      <c r="A96" s="9"/>
      <c r="B96" s="5"/>
      <c r="C96" s="4"/>
      <c r="D96" s="15" t="s">
        <v>107</v>
      </c>
      <c r="E96" s="33"/>
      <c r="F96" s="13">
        <f>1+4+7</f>
        <v>12</v>
      </c>
      <c r="G96" s="13" t="s">
        <v>53</v>
      </c>
      <c r="H96" s="34">
        <f>(170+686.2+1252.4)/F96</f>
        <v>175.7166666666667</v>
      </c>
      <c r="I96" s="13">
        <f>F96*H96</f>
        <v>2108.6000000000004</v>
      </c>
      <c r="J96" s="13" t="s">
        <v>117</v>
      </c>
      <c r="L96" s="2"/>
    </row>
    <row r="97" spans="1:12" ht="56.25" x14ac:dyDescent="0.25">
      <c r="A97" s="9" t="s">
        <v>108</v>
      </c>
      <c r="B97" s="5"/>
      <c r="C97" s="4"/>
      <c r="D97" s="15" t="s">
        <v>127</v>
      </c>
      <c r="E97" s="33"/>
      <c r="F97" s="13">
        <f>5+5+5+5+5+5+5+5+5+5+5+5</f>
        <v>60</v>
      </c>
      <c r="G97" s="13" t="s">
        <v>109</v>
      </c>
      <c r="H97" s="34">
        <f>(219.2+219.2+219.2+219.2+219.2+219.2+229.6+229.6+229.6+231.6+231.6+231.6)/F97</f>
        <v>44.98</v>
      </c>
      <c r="I97" s="13">
        <f>F97*H97</f>
        <v>2698.7999999999997</v>
      </c>
      <c r="J97" s="13" t="s">
        <v>117</v>
      </c>
      <c r="L97" s="2"/>
    </row>
    <row r="98" spans="1:12" ht="18.75" x14ac:dyDescent="0.25">
      <c r="A98" s="51"/>
      <c r="B98" s="22"/>
      <c r="C98" s="22"/>
      <c r="D98" s="30"/>
      <c r="E98" s="49"/>
      <c r="F98" s="53"/>
      <c r="G98" s="31"/>
      <c r="H98" s="31"/>
      <c r="I98" s="13">
        <f>SUM(I96:I97)</f>
        <v>4807.3999999999996</v>
      </c>
      <c r="J98" s="13"/>
      <c r="L98" s="2"/>
    </row>
    <row r="99" spans="1:12" ht="18.75" x14ac:dyDescent="0.25">
      <c r="A99" s="83" t="s">
        <v>90</v>
      </c>
      <c r="B99" s="84"/>
      <c r="C99" s="84"/>
      <c r="D99" s="84"/>
      <c r="E99" s="84"/>
      <c r="F99" s="84"/>
      <c r="G99" s="85"/>
      <c r="H99" s="12"/>
      <c r="I99" s="5"/>
      <c r="J99" s="5"/>
      <c r="L99" s="2"/>
    </row>
    <row r="100" spans="1:12" ht="18.75" x14ac:dyDescent="0.25">
      <c r="A100" s="26"/>
      <c r="B100" s="27"/>
      <c r="C100" s="27"/>
      <c r="D100" s="38" t="s">
        <v>118</v>
      </c>
      <c r="E100" s="33" t="s">
        <v>155</v>
      </c>
      <c r="F100" s="33" t="s">
        <v>155</v>
      </c>
      <c r="G100" s="40" t="s">
        <v>30</v>
      </c>
      <c r="H100" s="33" t="s">
        <v>155</v>
      </c>
      <c r="I100" s="33" t="s">
        <v>155</v>
      </c>
      <c r="J100" s="13"/>
      <c r="L100" s="2"/>
    </row>
    <row r="101" spans="1:12" ht="18.75" x14ac:dyDescent="0.25">
      <c r="A101" s="47" t="s">
        <v>150</v>
      </c>
      <c r="B101" s="42"/>
      <c r="C101" s="42"/>
      <c r="D101" s="45" t="s">
        <v>151</v>
      </c>
      <c r="E101" s="46"/>
      <c r="F101" s="37"/>
      <c r="G101" s="33" t="s">
        <v>152</v>
      </c>
      <c r="H101" s="31"/>
      <c r="I101" s="13"/>
      <c r="J101" s="13"/>
      <c r="L101" s="2"/>
    </row>
    <row r="102" spans="1:12" ht="63" x14ac:dyDescent="0.25">
      <c r="A102" s="9" t="s">
        <v>88</v>
      </c>
      <c r="B102" s="22"/>
      <c r="C102" s="22"/>
      <c r="D102" s="23" t="s">
        <v>120</v>
      </c>
      <c r="E102" s="39">
        <v>442</v>
      </c>
      <c r="F102" s="13">
        <v>442</v>
      </c>
      <c r="G102" s="31" t="s">
        <v>89</v>
      </c>
      <c r="H102" s="31">
        <v>4.8</v>
      </c>
      <c r="I102" s="13">
        <f>F102*H102*12</f>
        <v>25459.199999999997</v>
      </c>
      <c r="J102" s="13" t="s">
        <v>117</v>
      </c>
      <c r="L102" s="2"/>
    </row>
    <row r="103" spans="1:12" ht="18.75" x14ac:dyDescent="0.25">
      <c r="A103" s="51"/>
      <c r="B103" s="22"/>
      <c r="C103" s="22"/>
      <c r="D103" s="30"/>
      <c r="E103" s="49"/>
      <c r="F103" s="53"/>
      <c r="G103" s="31"/>
      <c r="H103" s="31"/>
      <c r="I103" s="13">
        <f>SUM(I101:I102)</f>
        <v>25459.199999999997</v>
      </c>
      <c r="J103" s="13"/>
      <c r="L103" s="2"/>
    </row>
    <row r="104" spans="1:12" ht="18.75" x14ac:dyDescent="0.3">
      <c r="A104" s="76" t="s">
        <v>78</v>
      </c>
      <c r="B104" s="77"/>
      <c r="C104" s="77"/>
      <c r="D104" s="77"/>
      <c r="E104" s="77"/>
      <c r="F104" s="77"/>
      <c r="G104" s="78"/>
      <c r="H104" s="19"/>
      <c r="I104" s="5"/>
      <c r="J104" s="5"/>
      <c r="L104" s="2"/>
    </row>
    <row r="105" spans="1:12" ht="46.5" customHeight="1" x14ac:dyDescent="0.3">
      <c r="A105" s="35" t="s">
        <v>135</v>
      </c>
      <c r="B105" s="24"/>
      <c r="C105" s="24"/>
      <c r="D105" s="36" t="s">
        <v>134</v>
      </c>
      <c r="E105" s="13">
        <v>60</v>
      </c>
      <c r="F105" s="13">
        <v>60</v>
      </c>
      <c r="G105" s="13" t="s">
        <v>140</v>
      </c>
      <c r="H105" s="32">
        <v>13</v>
      </c>
      <c r="I105" s="13">
        <f>F105*H105*3</f>
        <v>2340</v>
      </c>
      <c r="J105" s="13" t="s">
        <v>117</v>
      </c>
      <c r="L105" s="2"/>
    </row>
    <row r="106" spans="1:12" ht="18.75" x14ac:dyDescent="0.25">
      <c r="A106" s="9" t="s">
        <v>24</v>
      </c>
      <c r="B106" s="5"/>
      <c r="C106" s="4"/>
      <c r="D106" s="4" t="s">
        <v>74</v>
      </c>
      <c r="E106" s="33" t="s">
        <v>155</v>
      </c>
      <c r="F106" s="33" t="s">
        <v>155</v>
      </c>
      <c r="G106" s="14" t="s">
        <v>53</v>
      </c>
      <c r="H106" s="33" t="s">
        <v>155</v>
      </c>
      <c r="I106" s="33" t="s">
        <v>155</v>
      </c>
      <c r="J106" s="5"/>
      <c r="L106" s="2"/>
    </row>
    <row r="107" spans="1:12" ht="47.25" x14ac:dyDescent="0.25">
      <c r="A107" s="9" t="s">
        <v>25</v>
      </c>
      <c r="B107" s="5"/>
      <c r="C107" s="4"/>
      <c r="D107" s="15" t="s">
        <v>27</v>
      </c>
      <c r="E107" s="33" t="s">
        <v>155</v>
      </c>
      <c r="F107" s="33" t="s">
        <v>155</v>
      </c>
      <c r="G107" s="14" t="s">
        <v>53</v>
      </c>
      <c r="H107" s="33" t="s">
        <v>155</v>
      </c>
      <c r="I107" s="33" t="s">
        <v>155</v>
      </c>
      <c r="J107" s="5"/>
      <c r="L107" s="2"/>
    </row>
    <row r="108" spans="1:12" ht="31.5" x14ac:dyDescent="0.25">
      <c r="A108" s="9" t="s">
        <v>26</v>
      </c>
      <c r="B108" s="5"/>
      <c r="C108" s="4"/>
      <c r="D108" s="15" t="s">
        <v>73</v>
      </c>
      <c r="E108" s="33" t="s">
        <v>155</v>
      </c>
      <c r="F108" s="33" t="s">
        <v>155</v>
      </c>
      <c r="G108" s="14" t="s">
        <v>53</v>
      </c>
      <c r="H108" s="33" t="s">
        <v>155</v>
      </c>
      <c r="I108" s="33" t="s">
        <v>155</v>
      </c>
      <c r="J108" s="5"/>
      <c r="L108" s="2"/>
    </row>
    <row r="109" spans="1:12" ht="18.75" x14ac:dyDescent="0.25">
      <c r="A109" s="51"/>
      <c r="B109" s="22"/>
      <c r="C109" s="22"/>
      <c r="D109" s="30"/>
      <c r="E109" s="49"/>
      <c r="F109" s="49"/>
      <c r="G109" s="12"/>
      <c r="H109" s="54"/>
      <c r="I109" s="54">
        <f>SUM(I105:I108)</f>
        <v>2340</v>
      </c>
      <c r="J109" s="55"/>
      <c r="L109" s="2"/>
    </row>
    <row r="110" spans="1:12" ht="18.75" x14ac:dyDescent="0.3">
      <c r="A110" s="76" t="s">
        <v>83</v>
      </c>
      <c r="B110" s="77"/>
      <c r="C110" s="77"/>
      <c r="D110" s="77"/>
      <c r="E110" s="77"/>
      <c r="F110" s="77"/>
      <c r="G110" s="78"/>
      <c r="H110" s="2"/>
      <c r="I110" s="2"/>
      <c r="J110" s="2"/>
      <c r="K110" s="2"/>
      <c r="L110" s="2"/>
    </row>
    <row r="111" spans="1:12" ht="48" x14ac:dyDescent="0.3">
      <c r="A111" s="6" t="s">
        <v>64</v>
      </c>
      <c r="B111" s="6"/>
      <c r="C111" s="4"/>
      <c r="D111" s="15" t="s">
        <v>84</v>
      </c>
      <c r="E111" s="33" t="s">
        <v>155</v>
      </c>
      <c r="F111" s="33" t="s">
        <v>155</v>
      </c>
      <c r="G111" s="13" t="s">
        <v>29</v>
      </c>
      <c r="H111" s="33" t="s">
        <v>155</v>
      </c>
      <c r="I111" s="33" t="s">
        <v>155</v>
      </c>
      <c r="J111" s="5"/>
      <c r="L111" s="2"/>
    </row>
    <row r="112" spans="1:12" ht="32.25" x14ac:dyDescent="0.3">
      <c r="A112" s="28"/>
      <c r="B112" s="29"/>
      <c r="C112" s="22"/>
      <c r="D112" s="30" t="s">
        <v>110</v>
      </c>
      <c r="E112" s="33" t="s">
        <v>155</v>
      </c>
      <c r="F112" s="33" t="s">
        <v>155</v>
      </c>
      <c r="G112" s="13" t="s">
        <v>111</v>
      </c>
      <c r="H112" s="33" t="s">
        <v>155</v>
      </c>
      <c r="I112" s="33" t="s">
        <v>155</v>
      </c>
      <c r="J112" s="41"/>
      <c r="L112" s="2"/>
    </row>
    <row r="113" spans="1:12" ht="18.75" x14ac:dyDescent="0.3">
      <c r="A113" s="76" t="s">
        <v>98</v>
      </c>
      <c r="B113" s="77"/>
      <c r="C113" s="77"/>
      <c r="D113" s="77"/>
      <c r="E113" s="77"/>
      <c r="F113" s="77"/>
      <c r="G113" s="78"/>
      <c r="H113" s="76"/>
      <c r="I113" s="77"/>
      <c r="J113" s="77"/>
      <c r="L113" s="2"/>
    </row>
    <row r="114" spans="1:12" ht="18.75" x14ac:dyDescent="0.3">
      <c r="A114" s="24"/>
      <c r="B114" s="24"/>
      <c r="C114" s="24"/>
      <c r="D114" s="44" t="s">
        <v>174</v>
      </c>
      <c r="E114" s="13"/>
      <c r="F114" s="13">
        <v>1</v>
      </c>
      <c r="G114" s="13" t="s">
        <v>30</v>
      </c>
      <c r="H114" s="13">
        <f>8849/F114</f>
        <v>8849</v>
      </c>
      <c r="I114" s="61">
        <f t="shared" ref="I114:I117" si="5">F114*H114</f>
        <v>8849</v>
      </c>
      <c r="J114" s="13" t="s">
        <v>126</v>
      </c>
      <c r="L114" s="2"/>
    </row>
    <row r="115" spans="1:12" ht="48" x14ac:dyDescent="0.3">
      <c r="A115" s="24"/>
      <c r="B115" s="24"/>
      <c r="C115" s="24"/>
      <c r="D115" s="44" t="s">
        <v>136</v>
      </c>
      <c r="E115" s="48"/>
      <c r="F115" s="48">
        <f>20</f>
        <v>20</v>
      </c>
      <c r="G115" s="13" t="s">
        <v>137</v>
      </c>
      <c r="H115" s="58">
        <f>13000/F115</f>
        <v>650</v>
      </c>
      <c r="I115" s="62">
        <f>F115*H115</f>
        <v>13000</v>
      </c>
      <c r="J115" s="13" t="s">
        <v>126</v>
      </c>
      <c r="L115" s="2"/>
    </row>
    <row r="116" spans="1:12" ht="32.25" x14ac:dyDescent="0.3">
      <c r="A116" s="24"/>
      <c r="B116" s="24"/>
      <c r="C116" s="24"/>
      <c r="D116" s="44" t="s">
        <v>157</v>
      </c>
      <c r="E116" s="13"/>
      <c r="F116" s="13">
        <f>160</f>
        <v>160</v>
      </c>
      <c r="G116" s="13" t="s">
        <v>138</v>
      </c>
      <c r="H116" s="34">
        <f>5501/F116</f>
        <v>34.381250000000001</v>
      </c>
      <c r="I116" s="61">
        <f t="shared" si="5"/>
        <v>5501</v>
      </c>
      <c r="J116" s="13" t="s">
        <v>126</v>
      </c>
      <c r="L116" s="2"/>
    </row>
    <row r="117" spans="1:12" ht="32.25" x14ac:dyDescent="0.3">
      <c r="A117" s="24"/>
      <c r="B117" s="24"/>
      <c r="C117" s="24"/>
      <c r="D117" s="44" t="s">
        <v>158</v>
      </c>
      <c r="E117" s="13"/>
      <c r="F117" s="13">
        <f>25+30</f>
        <v>55</v>
      </c>
      <c r="G117" s="13" t="s">
        <v>138</v>
      </c>
      <c r="H117" s="34">
        <f>(1146+1375)/F117</f>
        <v>45.836363636363636</v>
      </c>
      <c r="I117" s="61">
        <f t="shared" si="5"/>
        <v>2521</v>
      </c>
      <c r="J117" s="13" t="s">
        <v>126</v>
      </c>
      <c r="L117" s="2"/>
    </row>
    <row r="118" spans="1:12" ht="32.25" x14ac:dyDescent="0.3">
      <c r="A118" s="35"/>
      <c r="B118" s="14"/>
      <c r="C118" s="14"/>
      <c r="D118" s="36" t="s">
        <v>169</v>
      </c>
      <c r="E118" s="14"/>
      <c r="F118" s="14">
        <v>8</v>
      </c>
      <c r="G118" s="14" t="s">
        <v>137</v>
      </c>
      <c r="H118" s="14">
        <f>10000/F118</f>
        <v>1250</v>
      </c>
      <c r="I118" s="63">
        <f>F118*H118</f>
        <v>10000</v>
      </c>
      <c r="J118" s="14" t="s">
        <v>139</v>
      </c>
      <c r="L118" s="2"/>
    </row>
    <row r="119" spans="1:12" ht="32.25" x14ac:dyDescent="0.3">
      <c r="A119" s="35"/>
      <c r="B119" s="14"/>
      <c r="C119" s="14"/>
      <c r="D119" s="36" t="s">
        <v>175</v>
      </c>
      <c r="E119" s="14"/>
      <c r="F119" s="14">
        <f>10</f>
        <v>10</v>
      </c>
      <c r="G119" s="14" t="s">
        <v>176</v>
      </c>
      <c r="H119" s="14">
        <f>22663/F119</f>
        <v>2266.3000000000002</v>
      </c>
      <c r="I119" s="63">
        <f>F119*H119</f>
        <v>22663</v>
      </c>
      <c r="J119" s="14"/>
      <c r="L119" s="2"/>
    </row>
    <row r="120" spans="1:12" ht="18.75" x14ac:dyDescent="0.3">
      <c r="A120" s="35"/>
      <c r="B120" s="14"/>
      <c r="C120" s="14"/>
      <c r="D120" s="36" t="s">
        <v>177</v>
      </c>
      <c r="E120" s="14"/>
      <c r="F120" s="14">
        <v>60</v>
      </c>
      <c r="G120" s="14" t="s">
        <v>178</v>
      </c>
      <c r="H120" s="68">
        <f>6054.8/F120</f>
        <v>100.91333333333334</v>
      </c>
      <c r="I120" s="63">
        <f>F120*H120</f>
        <v>6054.8</v>
      </c>
      <c r="J120" s="14"/>
      <c r="L120" s="2"/>
    </row>
    <row r="121" spans="1:12" ht="18.75" x14ac:dyDescent="0.3">
      <c r="A121" s="35"/>
      <c r="B121" s="14"/>
      <c r="C121" s="14"/>
      <c r="D121" s="43"/>
      <c r="E121" s="14"/>
      <c r="F121" s="14"/>
      <c r="G121" s="14"/>
      <c r="H121" s="14"/>
      <c r="I121" s="68">
        <f>SUM(I114:I119)</f>
        <v>62534</v>
      </c>
      <c r="J121" s="14"/>
      <c r="L121" s="2"/>
    </row>
    <row r="122" spans="1:12" ht="15.75" x14ac:dyDescent="0.25">
      <c r="A122" s="56" t="s">
        <v>166</v>
      </c>
      <c r="B122" s="25"/>
      <c r="C122" s="25"/>
      <c r="D122" s="43"/>
      <c r="E122" s="13"/>
      <c r="F122" s="13"/>
      <c r="G122" s="13"/>
      <c r="H122" s="13"/>
      <c r="I122" s="57">
        <f>I6+I23+I33+I37+I38+I48+I49+I50+I51+I52+I55+I56+I57+I58+I59+I70+I71+I73+I79+I84+I114+I115+I116+I117+I118+I119+I120+I47</f>
        <v>763237.2</v>
      </c>
      <c r="J122" s="13"/>
      <c r="K122" s="2"/>
      <c r="L122" s="72"/>
    </row>
    <row r="123" spans="1:12" ht="15.75" x14ac:dyDescent="0.25">
      <c r="A123" s="56" t="s">
        <v>156</v>
      </c>
      <c r="B123" s="25"/>
      <c r="C123" s="25"/>
      <c r="D123" s="43"/>
      <c r="E123" s="13"/>
      <c r="F123" s="13"/>
      <c r="G123" s="13"/>
      <c r="H123" s="13"/>
      <c r="I123" s="57">
        <f>I15+I30+I43+I67+I75+I81+I89+I98+I103+I109+I121</f>
        <v>1001549</v>
      </c>
      <c r="J123" s="13"/>
      <c r="K123" s="2"/>
      <c r="L123" s="2"/>
    </row>
    <row r="124" spans="1:12" ht="99.75" customHeight="1" x14ac:dyDescent="0.25">
      <c r="A124" s="73" t="s">
        <v>105</v>
      </c>
      <c r="B124" s="73"/>
      <c r="C124" s="73"/>
      <c r="D124" s="73"/>
      <c r="E124" s="73"/>
      <c r="F124" s="73"/>
      <c r="G124" s="73"/>
      <c r="H124" s="73"/>
      <c r="I124" s="73"/>
      <c r="J124" s="73"/>
      <c r="K124" s="2"/>
      <c r="L124" s="2"/>
    </row>
    <row r="125" spans="1:12" ht="15.75" x14ac:dyDescent="0.25">
      <c r="A125" s="2"/>
      <c r="B125" s="2"/>
      <c r="C125" s="2"/>
      <c r="D125" s="16"/>
      <c r="E125" s="16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6"/>
      <c r="E126" s="2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6"/>
      <c r="E127" s="2"/>
      <c r="F127" s="69"/>
      <c r="G127" s="2"/>
      <c r="H127" s="69"/>
      <c r="I127" s="69"/>
      <c r="J127" s="2"/>
      <c r="K127" s="2"/>
      <c r="L127" s="2"/>
    </row>
    <row r="128" spans="1:12" ht="15.75" x14ac:dyDescent="0.25">
      <c r="A128" s="2"/>
      <c r="B128" s="2"/>
      <c r="C128" s="2"/>
      <c r="D128" s="16"/>
      <c r="E128" s="2"/>
      <c r="F128" s="69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6"/>
      <c r="E129" s="2"/>
      <c r="F129" s="69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6"/>
      <c r="E130" s="60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6"/>
      <c r="E131" s="16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6"/>
      <c r="E132" s="16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16"/>
      <c r="E133" s="59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16"/>
      <c r="E134" s="16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16"/>
      <c r="E135" s="16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16"/>
      <c r="E136" s="16"/>
      <c r="F136" s="2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16"/>
      <c r="E137" s="16"/>
      <c r="F137" s="2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16"/>
      <c r="E138" s="16"/>
      <c r="F138" s="2"/>
      <c r="G138" s="2"/>
      <c r="H138" s="2"/>
      <c r="I138" s="2"/>
      <c r="J138" s="2"/>
      <c r="K138" s="2"/>
      <c r="L138" s="2"/>
    </row>
    <row r="139" spans="1:12" ht="15.75" x14ac:dyDescent="0.25">
      <c r="A139" s="2"/>
      <c r="B139" s="2"/>
      <c r="C139" s="2"/>
      <c r="D139" s="16"/>
      <c r="E139" s="16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16"/>
      <c r="E140" s="16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16"/>
      <c r="E141" s="16"/>
      <c r="F141" s="2"/>
      <c r="G141" s="2"/>
      <c r="H141" s="2"/>
      <c r="I141" s="2"/>
      <c r="J141" s="2"/>
      <c r="K141" s="2"/>
      <c r="L141" s="2"/>
    </row>
    <row r="142" spans="1:12" ht="15.75" x14ac:dyDescent="0.25">
      <c r="A142" s="2"/>
      <c r="B142" s="2"/>
      <c r="C142" s="2"/>
      <c r="D142" s="16"/>
      <c r="E142" s="16"/>
      <c r="F142" s="2"/>
      <c r="G142" s="2"/>
      <c r="H142" s="2"/>
      <c r="I142" s="2"/>
      <c r="J142" s="2"/>
      <c r="K142" s="2"/>
      <c r="L142" s="2"/>
    </row>
    <row r="143" spans="1:12" ht="15.75" x14ac:dyDescent="0.25">
      <c r="A143" s="2"/>
      <c r="B143" s="2"/>
      <c r="C143" s="2"/>
      <c r="D143" s="16"/>
      <c r="E143" s="16"/>
      <c r="F143" s="2"/>
      <c r="G143" s="2"/>
      <c r="H143" s="2"/>
      <c r="I143" s="2"/>
      <c r="J143" s="2"/>
      <c r="K143" s="2"/>
      <c r="L143" s="2"/>
    </row>
    <row r="144" spans="1:12" ht="15.75" x14ac:dyDescent="0.25">
      <c r="A144" s="2"/>
      <c r="B144" s="2"/>
      <c r="C144" s="2"/>
      <c r="D144" s="16"/>
      <c r="E144" s="16"/>
      <c r="F144" s="2"/>
      <c r="G144" s="2"/>
      <c r="H144" s="2"/>
      <c r="I144" s="2"/>
      <c r="J144" s="2"/>
      <c r="K144" s="2"/>
      <c r="L144" s="2"/>
    </row>
    <row r="145" spans="1:12" ht="15.75" x14ac:dyDescent="0.25">
      <c r="A145" s="2"/>
      <c r="B145" s="2"/>
      <c r="C145" s="2"/>
      <c r="D145" s="16"/>
      <c r="E145" s="16"/>
      <c r="F145" s="2"/>
      <c r="G145" s="2"/>
      <c r="H145" s="2"/>
      <c r="I145" s="2"/>
      <c r="J145" s="2"/>
      <c r="K145" s="2"/>
      <c r="L145" s="2"/>
    </row>
    <row r="146" spans="1:12" ht="15.75" x14ac:dyDescent="0.25">
      <c r="A146" s="2"/>
      <c r="B146" s="2"/>
      <c r="C146" s="2"/>
      <c r="D146" s="16"/>
      <c r="E146" s="16"/>
      <c r="F146" s="2"/>
      <c r="G146" s="2"/>
      <c r="H146" s="2"/>
      <c r="I146" s="2"/>
      <c r="J146" s="2"/>
      <c r="K146" s="2"/>
      <c r="L146" s="2"/>
    </row>
    <row r="147" spans="1:12" ht="15.75" x14ac:dyDescent="0.25">
      <c r="A147" s="2"/>
      <c r="B147" s="2"/>
      <c r="C147" s="2"/>
      <c r="D147" s="16"/>
      <c r="E147" s="16"/>
      <c r="F147" s="2"/>
      <c r="G147" s="2"/>
      <c r="H147" s="2"/>
      <c r="I147" s="2"/>
      <c r="J147" s="2"/>
      <c r="K147" s="2"/>
      <c r="L147" s="2"/>
    </row>
    <row r="148" spans="1:12" ht="15.75" x14ac:dyDescent="0.25">
      <c r="A148" s="2"/>
      <c r="B148" s="2"/>
      <c r="C148" s="2"/>
      <c r="D148" s="16"/>
      <c r="E148" s="16"/>
      <c r="F148" s="2"/>
      <c r="G148" s="2"/>
      <c r="H148" s="2"/>
      <c r="I148" s="2"/>
      <c r="J148" s="2"/>
      <c r="K148" s="2"/>
      <c r="L148" s="2"/>
    </row>
    <row r="149" spans="1:12" ht="15.75" x14ac:dyDescent="0.25">
      <c r="A149" s="2"/>
      <c r="B149" s="2"/>
      <c r="C149" s="2"/>
      <c r="D149" s="16"/>
      <c r="E149" s="16"/>
      <c r="F149" s="2"/>
      <c r="G149" s="2"/>
      <c r="H149" s="2"/>
      <c r="I149" s="2"/>
      <c r="J149" s="2"/>
      <c r="K149" s="2"/>
      <c r="L149" s="2"/>
    </row>
    <row r="150" spans="1:12" ht="15.75" x14ac:dyDescent="0.25">
      <c r="A150" s="2"/>
      <c r="B150" s="2"/>
      <c r="C150" s="2"/>
      <c r="D150" s="16"/>
      <c r="E150" s="16"/>
      <c r="F150" s="2"/>
      <c r="G150" s="2"/>
      <c r="H150" s="2"/>
      <c r="I150" s="2"/>
      <c r="J150" s="2"/>
      <c r="K150" s="2"/>
      <c r="L150" s="2"/>
    </row>
  </sheetData>
  <mergeCells count="16">
    <mergeCell ref="A124:J124"/>
    <mergeCell ref="A2:J2"/>
    <mergeCell ref="A113:G113"/>
    <mergeCell ref="H113:J113"/>
    <mergeCell ref="I1:J1"/>
    <mergeCell ref="A76:G76"/>
    <mergeCell ref="A90:G90"/>
    <mergeCell ref="A110:G110"/>
    <mergeCell ref="A31:G31"/>
    <mergeCell ref="A16:G16"/>
    <mergeCell ref="A4:G4"/>
    <mergeCell ref="A99:G99"/>
    <mergeCell ref="A44:G44"/>
    <mergeCell ref="A68:G68"/>
    <mergeCell ref="A82:G82"/>
    <mergeCell ref="A104:G104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2025-01-30T12:09:45Z</cp:lastPrinted>
  <dcterms:created xsi:type="dcterms:W3CDTF">2017-05-29T12:14:13Z</dcterms:created>
  <dcterms:modified xsi:type="dcterms:W3CDTF">2025-03-14T04:54:43Z</dcterms:modified>
</cp:coreProperties>
</file>