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4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68" i="1" l="1"/>
  <c r="F94" i="1"/>
  <c r="F114" i="1"/>
  <c r="H114" i="1" l="1"/>
  <c r="I114" i="1" s="1"/>
  <c r="H94" i="1"/>
  <c r="I94" i="1" s="1"/>
  <c r="F139" i="1"/>
  <c r="F138" i="1"/>
  <c r="H138" i="1" s="1"/>
  <c r="F99" i="1"/>
  <c r="H99" i="1" s="1"/>
  <c r="F105" i="1"/>
  <c r="H105" i="1" s="1"/>
  <c r="F160" i="1"/>
  <c r="H160" i="1" s="1"/>
  <c r="F162" i="1"/>
  <c r="H162" i="1" s="1"/>
  <c r="F44" i="1"/>
  <c r="H44" i="1" s="1"/>
  <c r="H42" i="1"/>
  <c r="H41" i="1"/>
  <c r="F143" i="1"/>
  <c r="H143" i="1" s="1"/>
  <c r="F141" i="1"/>
  <c r="H141" i="1" s="1"/>
  <c r="F125" i="1"/>
  <c r="H125" i="1" s="1"/>
  <c r="F129" i="1"/>
  <c r="H129" i="1" s="1"/>
  <c r="F127" i="1"/>
  <c r="H127" i="1" s="1"/>
  <c r="F63" i="1"/>
  <c r="H63" i="1" s="1"/>
  <c r="H139" i="1" l="1"/>
  <c r="I139" i="1" s="1"/>
  <c r="F75" i="1"/>
  <c r="H75" i="1" s="1"/>
  <c r="H48" i="1" l="1"/>
  <c r="H47" i="1"/>
  <c r="F85" i="1" l="1"/>
  <c r="H85" i="1" s="1"/>
  <c r="F84" i="1"/>
  <c r="H84" i="1" s="1"/>
  <c r="F79" i="1"/>
  <c r="H79" i="1" s="1"/>
  <c r="F72" i="1"/>
  <c r="H72" i="1" s="1"/>
  <c r="F71" i="1"/>
  <c r="H71" i="1" s="1"/>
  <c r="F69" i="1"/>
  <c r="H69" i="1" s="1"/>
  <c r="F70" i="1"/>
  <c r="H70" i="1" s="1"/>
  <c r="F83" i="1"/>
  <c r="H83" i="1" s="1"/>
  <c r="I85" i="1" l="1"/>
  <c r="I84" i="1"/>
  <c r="F86" i="1"/>
  <c r="H86" i="1" s="1"/>
  <c r="F98" i="1"/>
  <c r="H98" i="1" s="1"/>
  <c r="H110" i="1"/>
  <c r="F115" i="1"/>
  <c r="H115" i="1" s="1"/>
  <c r="I115" i="1" l="1"/>
  <c r="F164" i="1"/>
  <c r="H164" i="1" s="1"/>
  <c r="I44" i="1"/>
  <c r="F126" i="1"/>
  <c r="H126" i="1" s="1"/>
  <c r="I164" i="1" l="1"/>
  <c r="I98" i="1"/>
  <c r="F106" i="1"/>
  <c r="H106" i="1" s="1"/>
  <c r="F109" i="1"/>
  <c r="H109" i="1" s="1"/>
  <c r="F108" i="1"/>
  <c r="H108" i="1" s="1"/>
  <c r="F107" i="1"/>
  <c r="H107" i="1" s="1"/>
  <c r="F97" i="1"/>
  <c r="H97" i="1" s="1"/>
  <c r="I97" i="1" s="1"/>
  <c r="F101" i="1"/>
  <c r="H101" i="1" s="1"/>
  <c r="I101" i="1" l="1"/>
  <c r="F77" i="1"/>
  <c r="H77" i="1" s="1"/>
  <c r="F73" i="1"/>
  <c r="H73" i="1" s="1"/>
  <c r="F88" i="1"/>
  <c r="H88" i="1" s="1"/>
  <c r="F87" i="1"/>
  <c r="H87" i="1" s="1"/>
  <c r="F82" i="1"/>
  <c r="H82" i="1" s="1"/>
  <c r="F81" i="1"/>
  <c r="H81" i="1" s="1"/>
  <c r="F89" i="1"/>
  <c r="H89" i="1" s="1"/>
  <c r="H96" i="1"/>
  <c r="F30" i="1"/>
  <c r="H30" i="1" s="1"/>
  <c r="F29" i="1"/>
  <c r="F45" i="1"/>
  <c r="H45" i="1" s="1"/>
  <c r="H103" i="1"/>
  <c r="I103" i="1" s="1"/>
  <c r="F102" i="1"/>
  <c r="H102" i="1" s="1"/>
  <c r="F121" i="1"/>
  <c r="H121" i="1" s="1"/>
  <c r="F68" i="1"/>
  <c r="H68" i="1" s="1"/>
  <c r="F67" i="1"/>
  <c r="H67" i="1" s="1"/>
  <c r="H66" i="1"/>
  <c r="H65" i="1"/>
  <c r="F65" i="1"/>
  <c r="F64" i="1"/>
  <c r="H64" i="1" s="1"/>
  <c r="F163" i="1"/>
  <c r="H163" i="1" s="1"/>
  <c r="F22" i="1"/>
  <c r="H22" i="1" s="1"/>
  <c r="I121" i="1" l="1"/>
  <c r="H29" i="1"/>
  <c r="I29" i="1" s="1"/>
  <c r="I102" i="1"/>
  <c r="I30" i="1"/>
  <c r="F100" i="1"/>
  <c r="H100" i="1" s="1"/>
  <c r="I45" i="1"/>
  <c r="I48" i="1"/>
  <c r="H46" i="1"/>
  <c r="I47" i="1"/>
  <c r="I46" i="1"/>
  <c r="F74" i="1"/>
  <c r="H74" i="1" s="1"/>
  <c r="H120" i="1"/>
  <c r="I120" i="1" s="1"/>
  <c r="F119" i="1"/>
  <c r="H119" i="1" s="1"/>
  <c r="H118" i="1"/>
  <c r="F161" i="1"/>
  <c r="H161" i="1" s="1"/>
  <c r="F95" i="1"/>
  <c r="H95" i="1" s="1"/>
  <c r="F117" i="1"/>
  <c r="H117" i="1" s="1"/>
  <c r="F59" i="1"/>
  <c r="F78" i="1"/>
  <c r="H78" i="1" s="1"/>
  <c r="F76" i="1"/>
  <c r="H76" i="1" s="1"/>
  <c r="I76" i="1" s="1"/>
  <c r="F43" i="1"/>
  <c r="H43" i="1" s="1"/>
  <c r="F166" i="1"/>
  <c r="H166" i="1" s="1"/>
  <c r="I127" i="1"/>
  <c r="I78" i="1" l="1"/>
  <c r="H59" i="1"/>
  <c r="I59" i="1" s="1"/>
  <c r="I95" i="1"/>
  <c r="I77" i="1"/>
  <c r="I96" i="1"/>
  <c r="I99" i="1"/>
  <c r="I100" i="1"/>
  <c r="I105" i="1"/>
  <c r="I106" i="1"/>
  <c r="I107" i="1"/>
  <c r="I108" i="1"/>
  <c r="I109" i="1"/>
  <c r="I110" i="1"/>
  <c r="I42" i="1"/>
  <c r="I41" i="1"/>
  <c r="F40" i="1"/>
  <c r="H40" i="1" l="1"/>
  <c r="I40" i="1" s="1"/>
  <c r="I79" i="1"/>
  <c r="I43" i="1"/>
  <c r="I72" i="1"/>
  <c r="I73" i="1" l="1"/>
  <c r="I70" i="1"/>
  <c r="I22" i="1"/>
  <c r="I37" i="1" s="1"/>
  <c r="I126" i="1" l="1"/>
  <c r="F62" i="1"/>
  <c r="H62" i="1" s="1"/>
  <c r="F61" i="1"/>
  <c r="H61" i="1" s="1"/>
  <c r="I82" i="1" l="1"/>
  <c r="I118" i="1"/>
  <c r="I117" i="1"/>
  <c r="I83" i="1"/>
  <c r="I166" i="1"/>
  <c r="F80" i="1"/>
  <c r="H80" i="1" s="1"/>
  <c r="I88" i="1"/>
  <c r="I80" i="1" l="1"/>
  <c r="I163" i="1"/>
  <c r="I74" i="1"/>
  <c r="I87" i="1"/>
  <c r="I67" i="1"/>
  <c r="I112" i="1" l="1"/>
  <c r="I75" i="1" l="1"/>
  <c r="I71" i="1"/>
  <c r="I86" i="1" l="1"/>
  <c r="F60" i="1" l="1"/>
  <c r="H60" i="1" s="1"/>
  <c r="I162" i="1"/>
  <c r="I160" i="1"/>
  <c r="I161" i="1" l="1"/>
  <c r="I167" i="1" l="1"/>
  <c r="I89" i="1"/>
  <c r="I138" i="1"/>
  <c r="I69" i="1"/>
  <c r="I125" i="1"/>
  <c r="I65" i="1"/>
  <c r="I64" i="1"/>
  <c r="I56" i="1" l="1"/>
  <c r="I119" i="1"/>
  <c r="I68" i="1" l="1"/>
  <c r="I66" i="1"/>
  <c r="I63" i="1"/>
  <c r="I143" i="1" l="1"/>
  <c r="I129" i="1"/>
  <c r="I132" i="1" s="1"/>
  <c r="I123" i="1" l="1"/>
  <c r="I81" i="1"/>
  <c r="I60" i="1"/>
  <c r="I62" i="1" l="1"/>
  <c r="I61" i="1"/>
  <c r="I141" i="1"/>
  <c r="I144" i="1" s="1"/>
  <c r="I92" i="1" l="1"/>
  <c r="I150" i="1"/>
  <c r="I154" i="1" s="1"/>
  <c r="I147" i="1"/>
  <c r="I148" i="1" s="1"/>
  <c r="I169" i="1" l="1"/>
</calcChain>
</file>

<file path=xl/sharedStrings.xml><?xml version="1.0" encoding="utf-8"?>
<sst xmlns="http://schemas.openxmlformats.org/spreadsheetml/2006/main" count="573" uniqueCount="239">
  <si>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</si>
  <si>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</si>
  <si>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</si>
  <si>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</si>
  <si>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</si>
  <si>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</si>
  <si>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</si>
  <si>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</si>
  <si>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</si>
  <si>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</si>
  <si>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</si>
  <si>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</si>
  <si>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</si>
  <si>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</si>
  <si>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</si>
  <si>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</si>
  <si>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</si>
  <si>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</si>
  <si>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</si>
  <si>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</si>
  <si>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</si>
  <si>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</si>
  <si>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</si>
  <si>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</si>
  <si>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</si>
  <si>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</si>
  <si>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</si>
  <si>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</si>
  <si>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</si>
  <si>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</si>
  <si>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</si>
  <si>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</si>
  <si>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</si>
  <si>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</si>
  <si>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</si>
  <si>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</si>
  <si>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</si>
  <si>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</si>
  <si>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</si>
  <si>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</si>
  <si>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</si>
  <si>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</si>
  <si>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</si>
  <si>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</si>
  <si>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</si>
  <si>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</si>
  <si>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</si>
  <si>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</si>
  <si>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</si>
  <si>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</si>
  <si>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</si>
  <si>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</si>
  <si>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</si>
  <si>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</si>
  <si>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</si>
  <si>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</si>
  <si>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</si>
  <si>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</si>
  <si>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</si>
  <si>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</si>
  <si>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</si>
  <si>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</si>
  <si>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</si>
  <si>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</si>
  <si>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</si>
  <si>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</si>
  <si>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</si>
  <si>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</si>
  <si>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</si>
  <si>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</si>
  <si>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</si>
  <si>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</si>
  <si>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</si>
  <si>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</si>
  <si>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</si>
  <si>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</si>
  <si>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</si>
  <si>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</si>
  <si>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</si>
  <si>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</si>
  <si>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</si>
  <si>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</si>
  <si>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</si>
  <si>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</si>
  <si>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</si>
  <si>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</si>
  <si>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</si>
  <si>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</si>
  <si>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</si>
  <si>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</si>
  <si>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</si>
  <si>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</si>
  <si>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</si>
  <si>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</si>
  <si>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</si>
  <si>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</si>
  <si>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</si>
  <si>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</si>
  <si>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</si>
  <si>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</si>
  <si>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</si>
  <si>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</si>
  <si>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</si>
  <si>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</si>
  <si>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</si>
  <si>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</si>
  <si>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</si>
  <si>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</si>
  <si>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</si>
  <si>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</si>
  <si>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</si>
  <si>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</si>
  <si>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</si>
  <si>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</si>
  <si>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</si>
  <si>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</si>
  <si>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</si>
  <si>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</si>
  <si>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</si>
  <si>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</si>
  <si>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очистка кровли от снега</t>
  </si>
  <si>
    <t>4 квартал</t>
  </si>
  <si>
    <t>2 квартал</t>
  </si>
  <si>
    <t>ремонт и восстановление герметизации горизонтальных и вертикальных стыков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</si>
  <si>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</si>
  <si>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</si>
  <si>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</si>
  <si>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</si>
  <si>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</si>
  <si>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</si>
  <si>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</si>
  <si>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</si>
  <si>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</si>
  <si>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</si>
  <si>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</si>
  <si>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</si>
  <si>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</si>
  <si>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</si>
  <si>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мин</t>
  </si>
  <si>
    <t>каналов</t>
  </si>
  <si>
    <t>−</t>
  </si>
  <si>
    <t>ремонт межпанельных швов</t>
  </si>
  <si>
    <t>смена ламп люминесцентных</t>
  </si>
  <si>
    <t>контроль исправности оборудования и ремонт силового предохранительного шкафа</t>
  </si>
  <si>
    <t>наличие и герметичность приборов отопления</t>
  </si>
  <si>
    <t>услуга</t>
  </si>
  <si>
    <t>смена внутренних трубопроводов из стальных труб диам. 20мм</t>
  </si>
  <si>
    <t>установка решеток на приямки</t>
  </si>
  <si>
    <t>кг</t>
  </si>
  <si>
    <t>м</t>
  </si>
  <si>
    <t>благоустройство</t>
  </si>
  <si>
    <t>1 квартал</t>
  </si>
  <si>
    <t>ремонт групповых щитков на лестничной клетке со сменой автоматов</t>
  </si>
  <si>
    <t>сгон</t>
  </si>
  <si>
    <t>прокладка внутренних трубпроводов водоснабжения и отопления из полипропиленовых труб:диам. 25мм</t>
  </si>
  <si>
    <t>1 врезка</t>
  </si>
  <si>
    <t>ремонт/частичная замена поврежденных участков при помощи альпинистов</t>
  </si>
  <si>
    <t>очистка канализационной сети дворовой</t>
  </si>
  <si>
    <t>демонтаж грязевиков</t>
  </si>
  <si>
    <t>установка хомутов диаметром трубопроводов до 100мм</t>
  </si>
  <si>
    <t>прочистка фильтров диам. 100мм</t>
  </si>
  <si>
    <t>МОП</t>
  </si>
  <si>
    <t>смена вентилей и клапанов обратных муфтовых диам. до 20мм</t>
  </si>
  <si>
    <t>смена вентилей и клапанов обратных муфтовых диам. до 32мм</t>
  </si>
  <si>
    <t>усиление сварных швов наплавкой</t>
  </si>
  <si>
    <t>смена кабелей двух-четырехжильных</t>
  </si>
  <si>
    <t>смена розеток</t>
  </si>
  <si>
    <t>ремонт штукатурки гладких фасадов по камню и бетону</t>
  </si>
  <si>
    <t>смена сгонов у трубопроводов диам. 32мм</t>
  </si>
  <si>
    <t>врезка в действующие сети трубопроводов отопления и водоснабжения диам. 15мм</t>
  </si>
  <si>
    <t>соед.</t>
  </si>
  <si>
    <t>разборка трубопроводов из водогазопроводных труб диам. до 32мм</t>
  </si>
  <si>
    <t>демонтаж элеваторов</t>
  </si>
  <si>
    <t>установка элеваторов после прочистки</t>
  </si>
  <si>
    <t>смена внутренних трубопроводов с заготовкой труб в построечных условиях диам.  32мм</t>
  </si>
  <si>
    <t>врезка в действующие сети трубопроводов отопления и водоснабжения диам. 25мм</t>
  </si>
  <si>
    <t>смена стекол толщиной 2-3 мм площадью до 1,0м2</t>
  </si>
  <si>
    <t>смена стекол толщиной 2-3 мм площадью до 0,5м2</t>
  </si>
  <si>
    <t>1,2,3 квартал</t>
  </si>
  <si>
    <t>прочистка фильтров диам. 150мм</t>
  </si>
  <si>
    <t>водоотлив из подвала ведрами</t>
  </si>
  <si>
    <t>водоотлив из подвала электрическим насосом</t>
  </si>
  <si>
    <t>ремонт и окраска дверей (восстановление фурнитуры и остекления)накидной крючок</t>
  </si>
  <si>
    <t>смена керамогранитных плит до 3шт.</t>
  </si>
  <si>
    <t>демонтаж светильников</t>
  </si>
  <si>
    <t>смена светильников со светодиодными лампами с датчиками движения</t>
  </si>
  <si>
    <t>Всего:</t>
  </si>
  <si>
    <t>механизированная уборка снега на придомовой территории(JSB )</t>
  </si>
  <si>
    <t>механизированная уборка снега на придомовой территории( МТЗ )</t>
  </si>
  <si>
    <t>смена внутренних трубопроводов из стальных труб диам. 100мм</t>
  </si>
  <si>
    <t>заделка выбоин в полах</t>
  </si>
  <si>
    <t>места</t>
  </si>
  <si>
    <t>установка грязевиков наружным диам. патрубков до 159 мм после прочистки</t>
  </si>
  <si>
    <t>лифт</t>
  </si>
  <si>
    <t>замена устройства БУАД-4-25</t>
  </si>
  <si>
    <t>смена задвижек диам. 100мм</t>
  </si>
  <si>
    <t>установка сопла</t>
  </si>
  <si>
    <t>врезка в действующие сети трубопроводов отопления и водоснабжения диам. 32мм</t>
  </si>
  <si>
    <t>смена вентилей и клапанов диам. до 20мм</t>
  </si>
  <si>
    <t>смена внутренних трубопроводов с заготовкой труб в построечных условиях диам.  100мм</t>
  </si>
  <si>
    <t>очистка внутренней поверхности теплообменного аппарата</t>
  </si>
  <si>
    <t>гидравлическое испытание аппарата или сосуда , работающего под давлением</t>
  </si>
  <si>
    <t>смена трубопроводов из полиэтиленовых канализационных труб диам. до 100мм</t>
  </si>
  <si>
    <t>заделка выбоин в полах до 0,5м2</t>
  </si>
  <si>
    <t>мест</t>
  </si>
  <si>
    <t xml:space="preserve"> смена кранов на шаровые краны диам15,.25,32 мм</t>
  </si>
  <si>
    <t>смена дверных приборов замки врезные</t>
  </si>
  <si>
    <t>смена сгонов у трубопроводов диам. 20мм</t>
  </si>
  <si>
    <t>Текущий ремонт</t>
  </si>
  <si>
    <t xml:space="preserve">
Отчет о выполнении работ по текущему ремонту общего имущества 
в многоквартирном доме по адресу: г.Щёлково, ул.Талсинская, дом 23  на 2024 г.
</t>
  </si>
  <si>
    <t>коврик  влаговпитывающий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</si>
  <si>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диам.25мм</t>
  </si>
  <si>
    <t>установка радиаторов чугунных</t>
  </si>
  <si>
    <t>кВт</t>
  </si>
  <si>
    <t>смена умывальников</t>
  </si>
  <si>
    <t>смена выпусков к умывальникам и мойкам</t>
  </si>
  <si>
    <t>смена гибких подводок</t>
  </si>
  <si>
    <t>смена стекол толщиной 2-3 мм площадью до 0,25м2</t>
  </si>
  <si>
    <t>ремонт и окраска окон (восстановление фурнитуры и остекления)ручки</t>
  </si>
  <si>
    <t>ремонт отмостки асфальтобетонной толщиной 14см</t>
  </si>
  <si>
    <t>окраска масляными составами ранее окрашенных металлических решеток и оград без рельефа</t>
  </si>
  <si>
    <t>прочистка фильтров диам.50мм</t>
  </si>
  <si>
    <t>прочистка фильтров диам.80мм</t>
  </si>
  <si>
    <t>простая масляная окраска ранее окрашенных фасадов без подготовки с расчисткой старой краски(закрашивание надписей)</t>
  </si>
  <si>
    <t>выполнение работ по утеплению внешней стены квартиры №117</t>
  </si>
  <si>
    <t>смена внутренних трубопроводов из стальных труб диам. 32мм</t>
  </si>
  <si>
    <t>изготовление и установка заглушек диам. трубопроводов до 100мм</t>
  </si>
  <si>
    <t xml:space="preserve"> смена кранов на шаровые краны диам.15,20,25,32мм</t>
  </si>
  <si>
    <t>смена задвижек диам. 150мм</t>
  </si>
  <si>
    <t>установка фланцевых соединений на стальных трубопроводах диам. 100мм</t>
  </si>
  <si>
    <t>установка шайб жиаметром трубопроводов до 100мм</t>
  </si>
  <si>
    <t>ремонт и восстановление уплотнения стыков прокладками ПРП в ряд в стенах,оконных и дверных блоках насухо</t>
  </si>
  <si>
    <t>подготовка почвы под цветники толщиной слоя насыпки 20см</t>
  </si>
  <si>
    <t>смена смесителей</t>
  </si>
  <si>
    <t xml:space="preserve">замена дверей металлических </t>
  </si>
  <si>
    <t>смена внутренних трубопроводов с заготовкой труб в построечных условиях диам.  20мм</t>
  </si>
  <si>
    <t>укрепление оконных и дверных коробок без конопатки</t>
  </si>
  <si>
    <t>кор</t>
  </si>
  <si>
    <t>установка дверного доводчика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</si>
</sst>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9" fillId="0" borderId="1" xfId="0" applyFont="1" applyBorder="1"/>
    <xf numFmtId="2" fontId="1" fillId="0" borderId="4" xfId="0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8" fillId="4" borderId="4" xfId="0" applyFont="1" applyFill="1" applyBorder="1" applyAlignment="1">
      <alignment horizontal="center" vertical="center" wrapText="1"/>
    </xf>
    <xf numFmtId="164" fontId="1" fillId="0" borderId="0" xfId="0" applyNumberFormat="1" applyFont="1"/>
    <xf numFmtId="165" fontId="1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/>
    </xf>
    <xf numFmtId="0" fontId="8" fillId="3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1" fillId="3" borderId="0" xfId="0" applyFont="1" applyFill="1"/>
    <xf numFmtId="2" fontId="1" fillId="3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topLeftCell="D169" zoomScale="91" zoomScaleNormal="91" workbookViewId="0">
      <selection activeCell="F176" sqref="F176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1" width="8.85546875" style="1"/>
    <col min="12" max="12" width="12.42578125" style="1" bestFit="1" customWidth="1"/>
    <col min="13" max="16384" width="8.85546875" style="1"/>
  </cols>
  <sheetData>
    <row r="1" spans="1:12" ht="51.75" customHeight="1" x14ac:dyDescent="0.25">
      <c r="I1" s="75" t="s">
        <v>97</v>
      </c>
      <c r="J1" s="75"/>
    </row>
    <row r="2" spans="1:12" ht="70.5" customHeight="1" x14ac:dyDescent="0.25">
      <c r="A2" s="70" t="s">
        <v>209</v>
      </c>
      <c r="B2" s="71"/>
      <c r="C2" s="71"/>
      <c r="D2" s="71"/>
      <c r="E2" s="71"/>
      <c r="F2" s="71"/>
      <c r="G2" s="71"/>
      <c r="H2" s="71"/>
      <c r="I2" s="71"/>
      <c r="J2" s="71"/>
      <c r="K2" s="2"/>
      <c r="L2" s="2"/>
    </row>
    <row r="3" spans="1:12" ht="75" x14ac:dyDescent="0.25">
      <c r="A3" s="20" t="s">
        <v>82</v>
      </c>
      <c r="B3" s="3"/>
      <c r="C3" s="3"/>
      <c r="D3" s="20" t="s">
        <v>100</v>
      </c>
      <c r="E3" s="20" t="s">
        <v>104</v>
      </c>
      <c r="F3" s="21" t="s">
        <v>102</v>
      </c>
      <c r="G3" s="21" t="s">
        <v>81</v>
      </c>
      <c r="H3" s="21" t="s">
        <v>80</v>
      </c>
      <c r="I3" s="21" t="s">
        <v>101</v>
      </c>
      <c r="J3" s="21" t="s">
        <v>103</v>
      </c>
      <c r="K3" s="2"/>
      <c r="L3" s="2"/>
    </row>
    <row r="4" spans="1:12" ht="18.75" x14ac:dyDescent="0.3">
      <c r="A4" s="76" t="s">
        <v>88</v>
      </c>
      <c r="B4" s="77"/>
      <c r="C4" s="77"/>
      <c r="D4" s="77"/>
      <c r="E4" s="77"/>
      <c r="F4" s="77"/>
      <c r="G4" s="78"/>
      <c r="H4" s="10"/>
      <c r="I4" s="10"/>
      <c r="J4" s="11"/>
      <c r="K4" s="2"/>
      <c r="L4" s="2"/>
    </row>
    <row r="5" spans="1:12" ht="32.25" x14ac:dyDescent="0.3">
      <c r="A5" s="6" t="s">
        <v>0</v>
      </c>
      <c r="B5" s="5"/>
      <c r="C5" s="4"/>
      <c r="D5" s="15" t="s">
        <v>123</v>
      </c>
      <c r="E5" s="42" t="s">
        <v>140</v>
      </c>
      <c r="F5" s="42" t="s">
        <v>140</v>
      </c>
      <c r="G5" s="13" t="s">
        <v>113</v>
      </c>
      <c r="H5" s="42" t="s">
        <v>140</v>
      </c>
      <c r="I5" s="42"/>
      <c r="J5" s="13"/>
      <c r="K5" s="2"/>
      <c r="L5" s="2"/>
    </row>
    <row r="6" spans="1:12" ht="18.75" x14ac:dyDescent="0.3">
      <c r="A6" s="6"/>
      <c r="B6" s="5"/>
      <c r="C6" s="4"/>
      <c r="D6" s="15" t="s">
        <v>120</v>
      </c>
      <c r="E6" s="42" t="s">
        <v>140</v>
      </c>
      <c r="F6" s="42" t="s">
        <v>140</v>
      </c>
      <c r="G6" s="13" t="s">
        <v>113</v>
      </c>
      <c r="H6" s="42" t="s">
        <v>140</v>
      </c>
      <c r="I6" s="42"/>
      <c r="J6" s="13"/>
      <c r="K6" s="2"/>
      <c r="L6" s="2"/>
    </row>
    <row r="7" spans="1:12" ht="35.25" customHeight="1" x14ac:dyDescent="0.3">
      <c r="A7" s="6" t="s">
        <v>1</v>
      </c>
      <c r="B7" s="5"/>
      <c r="C7" s="4"/>
      <c r="D7" s="15" t="s">
        <v>156</v>
      </c>
      <c r="E7" s="42" t="s">
        <v>140</v>
      </c>
      <c r="F7" s="42" t="s">
        <v>140</v>
      </c>
      <c r="G7" s="13" t="s">
        <v>30</v>
      </c>
      <c r="H7" s="42" t="s">
        <v>140</v>
      </c>
      <c r="I7" s="42"/>
      <c r="J7" s="13"/>
      <c r="K7" s="2"/>
      <c r="L7" s="2"/>
    </row>
    <row r="8" spans="1:12" ht="28.5" customHeight="1" x14ac:dyDescent="0.3">
      <c r="A8" s="6" t="s">
        <v>2</v>
      </c>
      <c r="B8" s="5"/>
      <c r="C8" s="4"/>
      <c r="D8" s="15" t="s">
        <v>39</v>
      </c>
      <c r="E8" s="42" t="s">
        <v>140</v>
      </c>
      <c r="F8" s="42" t="s">
        <v>140</v>
      </c>
      <c r="G8" s="13" t="s">
        <v>30</v>
      </c>
      <c r="H8" s="42" t="s">
        <v>140</v>
      </c>
      <c r="I8" s="42"/>
      <c r="J8" s="13"/>
      <c r="K8" s="2"/>
      <c r="L8" s="2"/>
    </row>
    <row r="9" spans="1:12" ht="18.75" x14ac:dyDescent="0.3">
      <c r="A9" s="7" t="s">
        <v>3</v>
      </c>
      <c r="B9" s="5"/>
      <c r="C9" s="4"/>
      <c r="D9" s="15" t="s">
        <v>38</v>
      </c>
      <c r="E9" s="42" t="s">
        <v>140</v>
      </c>
      <c r="F9" s="42" t="s">
        <v>140</v>
      </c>
      <c r="G9" s="13" t="s">
        <v>30</v>
      </c>
      <c r="H9" s="42" t="s">
        <v>140</v>
      </c>
      <c r="I9" s="42"/>
      <c r="J9" s="13"/>
      <c r="K9" s="2"/>
      <c r="L9" s="2"/>
    </row>
    <row r="10" spans="1:12" ht="32.25" x14ac:dyDescent="0.3">
      <c r="A10" s="6" t="s">
        <v>4</v>
      </c>
      <c r="B10" s="5"/>
      <c r="C10" s="4"/>
      <c r="D10" s="15" t="s">
        <v>37</v>
      </c>
      <c r="E10" s="42" t="s">
        <v>140</v>
      </c>
      <c r="F10" s="42" t="s">
        <v>140</v>
      </c>
      <c r="G10" s="13" t="s">
        <v>30</v>
      </c>
      <c r="H10" s="42" t="s">
        <v>140</v>
      </c>
      <c r="I10" s="42"/>
      <c r="J10" s="13"/>
      <c r="K10" s="2"/>
      <c r="L10" s="2"/>
    </row>
    <row r="11" spans="1:12" ht="18.75" x14ac:dyDescent="0.3">
      <c r="A11" s="6" t="s">
        <v>5</v>
      </c>
      <c r="B11" s="5"/>
      <c r="C11" s="4"/>
      <c r="D11" s="4" t="s">
        <v>87</v>
      </c>
      <c r="E11" s="42" t="s">
        <v>140</v>
      </c>
      <c r="F11" s="42" t="s">
        <v>140</v>
      </c>
      <c r="G11" s="13" t="s">
        <v>31</v>
      </c>
      <c r="H11" s="42" t="s">
        <v>140</v>
      </c>
      <c r="I11" s="42"/>
      <c r="J11" s="13"/>
      <c r="K11" s="2"/>
      <c r="L11" s="2"/>
    </row>
    <row r="12" spans="1:12" ht="37.5" x14ac:dyDescent="0.3">
      <c r="A12" s="6" t="s">
        <v>6</v>
      </c>
      <c r="B12" s="5"/>
      <c r="C12" s="4"/>
      <c r="D12" s="4" t="s">
        <v>36</v>
      </c>
      <c r="E12" s="42" t="s">
        <v>140</v>
      </c>
      <c r="F12" s="42" t="s">
        <v>140</v>
      </c>
      <c r="G12" s="14" t="s">
        <v>31</v>
      </c>
      <c r="H12" s="42" t="s">
        <v>140</v>
      </c>
      <c r="I12" s="42"/>
      <c r="J12" s="13"/>
      <c r="K12" s="2"/>
      <c r="L12" s="2"/>
    </row>
    <row r="13" spans="1:12" ht="32.25" x14ac:dyDescent="0.3">
      <c r="A13" s="6" t="s">
        <v>63</v>
      </c>
      <c r="B13" s="5"/>
      <c r="C13" s="4"/>
      <c r="D13" s="15" t="s">
        <v>52</v>
      </c>
      <c r="E13" s="42" t="s">
        <v>140</v>
      </c>
      <c r="F13" s="42" t="s">
        <v>140</v>
      </c>
      <c r="G13" s="13" t="s">
        <v>30</v>
      </c>
      <c r="H13" s="42" t="s">
        <v>140</v>
      </c>
      <c r="I13" s="42"/>
      <c r="J13" s="13"/>
      <c r="L13" s="2"/>
    </row>
    <row r="14" spans="1:12" ht="27" customHeight="1" x14ac:dyDescent="0.3">
      <c r="A14" s="6" t="s">
        <v>7</v>
      </c>
      <c r="B14" s="5"/>
      <c r="C14" s="4"/>
      <c r="D14" s="15" t="s">
        <v>34</v>
      </c>
      <c r="E14" s="42" t="s">
        <v>140</v>
      </c>
      <c r="F14" s="42" t="s">
        <v>140</v>
      </c>
      <c r="G14" s="13" t="s">
        <v>30</v>
      </c>
      <c r="H14" s="42" t="s">
        <v>140</v>
      </c>
      <c r="I14" s="42"/>
      <c r="J14" s="13"/>
      <c r="K14" s="2"/>
      <c r="L14" s="2"/>
    </row>
    <row r="15" spans="1:12" ht="27" customHeight="1" x14ac:dyDescent="0.3">
      <c r="A15" s="28"/>
      <c r="B15" s="22"/>
      <c r="C15" s="22"/>
      <c r="D15" s="30"/>
      <c r="E15" s="45"/>
      <c r="F15" s="45"/>
      <c r="G15" s="31"/>
      <c r="H15" s="42"/>
      <c r="I15" s="42"/>
      <c r="J15" s="13"/>
      <c r="K15" s="2"/>
      <c r="L15" s="2"/>
    </row>
    <row r="16" spans="1:12" ht="18.75" x14ac:dyDescent="0.3">
      <c r="A16" s="76" t="s">
        <v>56</v>
      </c>
      <c r="B16" s="77"/>
      <c r="C16" s="77"/>
      <c r="D16" s="77"/>
      <c r="E16" s="77"/>
      <c r="F16" s="77"/>
      <c r="G16" s="78"/>
      <c r="H16" s="14"/>
      <c r="I16" s="5"/>
      <c r="J16" s="13"/>
      <c r="L16" s="2"/>
    </row>
    <row r="17" spans="1:12" ht="18.75" x14ac:dyDescent="0.3">
      <c r="A17" s="6" t="s">
        <v>19</v>
      </c>
      <c r="B17" s="5"/>
      <c r="C17" s="4"/>
      <c r="D17" s="4" t="s">
        <v>96</v>
      </c>
      <c r="E17" s="42" t="s">
        <v>140</v>
      </c>
      <c r="F17" s="42" t="s">
        <v>140</v>
      </c>
      <c r="G17" s="14" t="s">
        <v>54</v>
      </c>
      <c r="H17" s="42" t="s">
        <v>140</v>
      </c>
      <c r="I17" s="42" t="s">
        <v>140</v>
      </c>
      <c r="J17" s="13"/>
      <c r="L17" s="2"/>
    </row>
    <row r="18" spans="1:12" ht="18.75" x14ac:dyDescent="0.3">
      <c r="A18" s="6" t="s">
        <v>13</v>
      </c>
      <c r="B18" s="5"/>
      <c r="C18" s="4"/>
      <c r="D18" s="4" t="s">
        <v>42</v>
      </c>
      <c r="E18" s="42" t="s">
        <v>140</v>
      </c>
      <c r="F18" s="42" t="s">
        <v>140</v>
      </c>
      <c r="G18" s="14" t="s">
        <v>53</v>
      </c>
      <c r="H18" s="42" t="s">
        <v>140</v>
      </c>
      <c r="I18" s="42" t="s">
        <v>140</v>
      </c>
      <c r="J18" s="13"/>
      <c r="L18" s="2"/>
    </row>
    <row r="19" spans="1:12" ht="18.75" x14ac:dyDescent="0.3">
      <c r="A19" s="6" t="s">
        <v>9</v>
      </c>
      <c r="B19" s="5"/>
      <c r="C19" s="4"/>
      <c r="D19" s="4" t="s">
        <v>35</v>
      </c>
      <c r="E19" s="42"/>
      <c r="F19" s="42"/>
      <c r="G19" s="14" t="s">
        <v>53</v>
      </c>
      <c r="H19" s="42"/>
      <c r="I19" s="42"/>
      <c r="J19" s="13"/>
      <c r="K19" s="2"/>
      <c r="L19" s="2"/>
    </row>
    <row r="20" spans="1:12" ht="32.25" x14ac:dyDescent="0.3">
      <c r="A20" s="6"/>
      <c r="B20" s="5"/>
      <c r="C20" s="4"/>
      <c r="D20" s="15" t="s">
        <v>167</v>
      </c>
      <c r="E20" s="42"/>
      <c r="F20" s="42"/>
      <c r="G20" s="14" t="s">
        <v>90</v>
      </c>
      <c r="H20" s="42"/>
      <c r="I20" s="42"/>
      <c r="J20" s="13"/>
      <c r="K20" s="2"/>
      <c r="L20" s="2"/>
    </row>
    <row r="21" spans="1:12" ht="18.75" x14ac:dyDescent="0.3">
      <c r="A21" s="6" t="s">
        <v>10</v>
      </c>
      <c r="B21" s="5"/>
      <c r="C21" s="4"/>
      <c r="D21" s="4" t="s">
        <v>33</v>
      </c>
      <c r="E21" s="42"/>
      <c r="F21" s="42"/>
      <c r="G21" s="14" t="s">
        <v>53</v>
      </c>
      <c r="H21" s="42" t="s">
        <v>140</v>
      </c>
      <c r="I21" s="42" t="s">
        <v>140</v>
      </c>
      <c r="J21" s="13"/>
      <c r="K21" s="2"/>
      <c r="L21" s="2"/>
    </row>
    <row r="22" spans="1:12" ht="18.75" x14ac:dyDescent="0.3">
      <c r="A22" s="6"/>
      <c r="B22" s="5"/>
      <c r="C22" s="4"/>
      <c r="D22" s="4" t="s">
        <v>219</v>
      </c>
      <c r="E22" s="42"/>
      <c r="F22" s="42">
        <f>6</f>
        <v>6</v>
      </c>
      <c r="G22" s="14" t="s">
        <v>113</v>
      </c>
      <c r="H22" s="46">
        <f>11014.6/F22</f>
        <v>1835.7666666666667</v>
      </c>
      <c r="I22" s="55">
        <f>F22*H22</f>
        <v>11014.6</v>
      </c>
      <c r="J22" s="13" t="s">
        <v>118</v>
      </c>
      <c r="K22" s="2"/>
      <c r="L22" s="2"/>
    </row>
    <row r="23" spans="1:12" ht="18.75" x14ac:dyDescent="0.3">
      <c r="A23" s="6" t="s">
        <v>11</v>
      </c>
      <c r="B23" s="5"/>
      <c r="C23" s="4"/>
      <c r="D23" s="4" t="s">
        <v>40</v>
      </c>
      <c r="E23" s="42"/>
      <c r="F23" s="42"/>
      <c r="G23" s="14" t="s">
        <v>53</v>
      </c>
      <c r="H23" s="42"/>
      <c r="I23" s="42" t="s">
        <v>140</v>
      </c>
      <c r="J23" s="13"/>
      <c r="K23" s="2"/>
      <c r="L23" s="2"/>
    </row>
    <row r="24" spans="1:12" ht="18.75" x14ac:dyDescent="0.3">
      <c r="A24" s="6"/>
      <c r="B24" s="5"/>
      <c r="C24" s="4"/>
      <c r="D24" s="4" t="s">
        <v>147</v>
      </c>
      <c r="E24" s="42"/>
      <c r="F24" s="42"/>
      <c r="G24" s="14" t="s">
        <v>148</v>
      </c>
      <c r="H24" s="42"/>
      <c r="I24" s="42"/>
      <c r="J24" s="13"/>
      <c r="K24" s="2"/>
      <c r="L24" s="2"/>
    </row>
    <row r="25" spans="1:12" ht="18.75" x14ac:dyDescent="0.3">
      <c r="A25" s="6" t="s">
        <v>8</v>
      </c>
      <c r="B25" s="5"/>
      <c r="C25" s="4"/>
      <c r="D25" s="4" t="s">
        <v>32</v>
      </c>
      <c r="E25" s="42"/>
      <c r="F25" s="42"/>
      <c r="G25" s="13" t="s">
        <v>30</v>
      </c>
      <c r="H25" s="42"/>
      <c r="I25" s="42"/>
      <c r="J25" s="13"/>
      <c r="K25" s="2"/>
      <c r="L25" s="2"/>
    </row>
    <row r="26" spans="1:12" ht="24.75" customHeight="1" x14ac:dyDescent="0.3">
      <c r="A26" s="6" t="s">
        <v>12</v>
      </c>
      <c r="B26" s="5"/>
      <c r="C26" s="4"/>
      <c r="D26" s="15" t="s">
        <v>41</v>
      </c>
      <c r="E26" s="42"/>
      <c r="F26" s="42"/>
      <c r="G26" s="14" t="s">
        <v>137</v>
      </c>
      <c r="H26" s="42"/>
      <c r="I26" s="42"/>
      <c r="J26" s="13"/>
      <c r="K26" s="2"/>
      <c r="L26" s="2"/>
    </row>
    <row r="27" spans="1:12" ht="24.75" customHeight="1" x14ac:dyDescent="0.3">
      <c r="A27" s="6"/>
      <c r="B27" s="5"/>
      <c r="C27" s="4"/>
      <c r="D27" s="15" t="s">
        <v>203</v>
      </c>
      <c r="E27" s="42"/>
      <c r="F27" s="42"/>
      <c r="G27" s="14" t="s">
        <v>204</v>
      </c>
      <c r="H27" s="46"/>
      <c r="I27" s="55"/>
      <c r="J27" s="13"/>
      <c r="K27" s="2"/>
      <c r="L27" s="2"/>
    </row>
    <row r="28" spans="1:12" ht="18.75" x14ac:dyDescent="0.3">
      <c r="A28" s="6" t="s">
        <v>55</v>
      </c>
      <c r="B28" s="5"/>
      <c r="C28" s="4"/>
      <c r="D28" s="15" t="s">
        <v>141</v>
      </c>
      <c r="E28" s="42"/>
      <c r="F28" s="42" t="s">
        <v>140</v>
      </c>
      <c r="G28" s="14" t="s">
        <v>30</v>
      </c>
      <c r="H28" s="42"/>
      <c r="I28" s="42" t="s">
        <v>140</v>
      </c>
      <c r="J28" s="13"/>
      <c r="L28" s="2"/>
    </row>
    <row r="29" spans="1:12" ht="48" x14ac:dyDescent="0.3">
      <c r="A29" s="6"/>
      <c r="B29" s="5"/>
      <c r="C29" s="4"/>
      <c r="D29" s="15" t="s">
        <v>223</v>
      </c>
      <c r="E29" s="42"/>
      <c r="F29" s="42">
        <f>46</f>
        <v>46</v>
      </c>
      <c r="G29" s="14" t="s">
        <v>113</v>
      </c>
      <c r="H29" s="46">
        <f>7629.6/F29</f>
        <v>165.8608695652174</v>
      </c>
      <c r="I29" s="64">
        <f>F29*H29</f>
        <v>7629.6</v>
      </c>
      <c r="J29" s="13" t="s">
        <v>122</v>
      </c>
      <c r="L29" s="2"/>
    </row>
    <row r="30" spans="1:12" ht="32.25" x14ac:dyDescent="0.3">
      <c r="A30" s="6"/>
      <c r="B30" s="5"/>
      <c r="C30" s="4"/>
      <c r="D30" s="15" t="s">
        <v>224</v>
      </c>
      <c r="E30" s="42"/>
      <c r="F30" s="42">
        <f>1</f>
        <v>1</v>
      </c>
      <c r="G30" s="14" t="s">
        <v>145</v>
      </c>
      <c r="H30" s="42">
        <f>20000/F30</f>
        <v>20000</v>
      </c>
      <c r="I30" s="64">
        <f>F30*H30</f>
        <v>20000</v>
      </c>
      <c r="J30" s="13" t="s">
        <v>122</v>
      </c>
      <c r="L30" s="2"/>
    </row>
    <row r="31" spans="1:12" ht="32.25" x14ac:dyDescent="0.3">
      <c r="A31" s="6" t="s">
        <v>57</v>
      </c>
      <c r="B31" s="5"/>
      <c r="C31" s="4"/>
      <c r="D31" s="15" t="s">
        <v>95</v>
      </c>
      <c r="E31" s="42" t="s">
        <v>140</v>
      </c>
      <c r="F31" s="42" t="s">
        <v>140</v>
      </c>
      <c r="G31" s="14" t="s">
        <v>53</v>
      </c>
      <c r="H31" s="42"/>
      <c r="I31" s="42" t="s">
        <v>140</v>
      </c>
      <c r="J31" s="13"/>
      <c r="L31" s="2"/>
    </row>
    <row r="32" spans="1:12" ht="32.25" x14ac:dyDescent="0.3">
      <c r="A32" s="6" t="s">
        <v>14</v>
      </c>
      <c r="B32" s="5"/>
      <c r="C32" s="4"/>
      <c r="D32" s="15" t="s">
        <v>94</v>
      </c>
      <c r="E32" s="42" t="s">
        <v>140</v>
      </c>
      <c r="F32" s="42" t="s">
        <v>140</v>
      </c>
      <c r="G32" s="14" t="s">
        <v>54</v>
      </c>
      <c r="H32" s="42"/>
      <c r="I32" s="42" t="s">
        <v>140</v>
      </c>
      <c r="J32" s="13"/>
      <c r="L32" s="2"/>
    </row>
    <row r="33" spans="1:12" ht="18.75" x14ac:dyDescent="0.3">
      <c r="A33" s="6" t="s">
        <v>15</v>
      </c>
      <c r="B33" s="5"/>
      <c r="C33" s="4"/>
      <c r="D33" s="4" t="s">
        <v>43</v>
      </c>
      <c r="E33" s="42" t="s">
        <v>140</v>
      </c>
      <c r="F33" s="42" t="s">
        <v>140</v>
      </c>
      <c r="G33" s="14" t="s">
        <v>54</v>
      </c>
      <c r="H33" s="42"/>
      <c r="I33" s="42" t="s">
        <v>140</v>
      </c>
      <c r="J33" s="13"/>
      <c r="L33" s="2"/>
    </row>
    <row r="34" spans="1:12" ht="18.75" x14ac:dyDescent="0.3">
      <c r="A34" s="6" t="s">
        <v>16</v>
      </c>
      <c r="B34" s="5"/>
      <c r="C34" s="4"/>
      <c r="D34" s="4" t="s">
        <v>44</v>
      </c>
      <c r="E34" s="42" t="s">
        <v>140</v>
      </c>
      <c r="F34" s="42" t="s">
        <v>140</v>
      </c>
      <c r="G34" s="14" t="s">
        <v>53</v>
      </c>
      <c r="H34" s="42"/>
      <c r="I34" s="42" t="s">
        <v>140</v>
      </c>
      <c r="J34" s="13"/>
      <c r="L34" s="2"/>
    </row>
    <row r="35" spans="1:12" ht="18.75" x14ac:dyDescent="0.3">
      <c r="A35" s="6" t="s">
        <v>17</v>
      </c>
      <c r="B35" s="5"/>
      <c r="C35" s="4"/>
      <c r="D35" s="4" t="s">
        <v>45</v>
      </c>
      <c r="E35" s="42" t="s">
        <v>140</v>
      </c>
      <c r="F35" s="42" t="s">
        <v>140</v>
      </c>
      <c r="G35" s="13" t="s">
        <v>30</v>
      </c>
      <c r="H35" s="42"/>
      <c r="I35" s="42" t="s">
        <v>140</v>
      </c>
      <c r="J35" s="13"/>
      <c r="L35" s="2"/>
    </row>
    <row r="36" spans="1:12" ht="18.75" x14ac:dyDescent="0.3">
      <c r="A36" s="6" t="s">
        <v>18</v>
      </c>
      <c r="B36" s="5"/>
      <c r="C36" s="4"/>
      <c r="D36" s="4" t="s">
        <v>46</v>
      </c>
      <c r="E36" s="42" t="s">
        <v>140</v>
      </c>
      <c r="F36" s="42" t="s">
        <v>140</v>
      </c>
      <c r="G36" s="14" t="s">
        <v>54</v>
      </c>
      <c r="H36" s="42"/>
      <c r="I36" s="42" t="s">
        <v>140</v>
      </c>
      <c r="J36" s="13"/>
      <c r="L36" s="2"/>
    </row>
    <row r="37" spans="1:12" ht="18.75" x14ac:dyDescent="0.3">
      <c r="A37" s="28"/>
      <c r="B37" s="22"/>
      <c r="C37" s="22"/>
      <c r="D37" s="22"/>
      <c r="E37" s="45"/>
      <c r="F37" s="45"/>
      <c r="G37" s="12"/>
      <c r="H37" s="42"/>
      <c r="I37" s="46">
        <f>SUM(I22:I36)</f>
        <v>38644.199999999997</v>
      </c>
      <c r="J37" s="13"/>
      <c r="L37" s="2"/>
    </row>
    <row r="38" spans="1:12" ht="24" customHeight="1" x14ac:dyDescent="0.3">
      <c r="A38" s="76" t="s">
        <v>86</v>
      </c>
      <c r="B38" s="77"/>
      <c r="C38" s="77"/>
      <c r="D38" s="77"/>
      <c r="E38" s="77"/>
      <c r="F38" s="77"/>
      <c r="G38" s="78"/>
      <c r="H38" s="14"/>
      <c r="I38" s="5"/>
      <c r="J38" s="13"/>
      <c r="L38" s="2"/>
    </row>
    <row r="39" spans="1:12" ht="32.25" customHeight="1" x14ac:dyDescent="0.3">
      <c r="A39" s="6" t="s">
        <v>50</v>
      </c>
      <c r="B39" s="5"/>
      <c r="C39" s="4"/>
      <c r="D39" s="15" t="s">
        <v>182</v>
      </c>
      <c r="E39" s="32"/>
      <c r="F39" s="13"/>
      <c r="G39" s="38" t="s">
        <v>31</v>
      </c>
      <c r="H39" s="13"/>
      <c r="I39" s="13"/>
      <c r="J39" s="13"/>
      <c r="L39" s="2"/>
    </row>
    <row r="40" spans="1:12" ht="32.25" customHeight="1" x14ac:dyDescent="0.3">
      <c r="A40" s="6"/>
      <c r="B40" s="5"/>
      <c r="C40" s="4"/>
      <c r="D40" s="15" t="s">
        <v>234</v>
      </c>
      <c r="E40" s="42"/>
      <c r="F40" s="42">
        <f>2</f>
        <v>2</v>
      </c>
      <c r="G40" s="13" t="s">
        <v>31</v>
      </c>
      <c r="H40" s="42">
        <f>(13263.4+110000)/F40</f>
        <v>61631.7</v>
      </c>
      <c r="I40" s="55">
        <f t="shared" ref="I40:I45" si="0">F40*H40</f>
        <v>123263.4</v>
      </c>
      <c r="J40" s="13" t="s">
        <v>121</v>
      </c>
      <c r="L40" s="2"/>
    </row>
    <row r="41" spans="1:12" ht="32.25" customHeight="1" x14ac:dyDescent="0.3">
      <c r="A41" s="6"/>
      <c r="B41" s="5"/>
      <c r="C41" s="4"/>
      <c r="D41" s="15" t="s">
        <v>236</v>
      </c>
      <c r="E41" s="42"/>
      <c r="F41" s="42">
        <v>2</v>
      </c>
      <c r="G41" s="13" t="s">
        <v>237</v>
      </c>
      <c r="H41" s="42">
        <f>500.4/F41</f>
        <v>250.2</v>
      </c>
      <c r="I41" s="55">
        <f t="shared" si="0"/>
        <v>500.4</v>
      </c>
      <c r="J41" s="13" t="s">
        <v>121</v>
      </c>
      <c r="L41" s="2"/>
    </row>
    <row r="42" spans="1:12" ht="32.25" customHeight="1" x14ac:dyDescent="0.3">
      <c r="A42" s="6"/>
      <c r="B42" s="5"/>
      <c r="C42" s="4"/>
      <c r="D42" s="15" t="s">
        <v>238</v>
      </c>
      <c r="E42" s="42"/>
      <c r="F42" s="42">
        <v>1</v>
      </c>
      <c r="G42" s="13" t="s">
        <v>31</v>
      </c>
      <c r="H42" s="42">
        <f>3122/F42</f>
        <v>3122</v>
      </c>
      <c r="I42" s="55">
        <f t="shared" si="0"/>
        <v>3122</v>
      </c>
      <c r="J42" s="13" t="s">
        <v>121</v>
      </c>
      <c r="L42" s="2"/>
    </row>
    <row r="43" spans="1:12" ht="32.25" customHeight="1" x14ac:dyDescent="0.3">
      <c r="A43" s="6"/>
      <c r="B43" s="5"/>
      <c r="C43" s="4"/>
      <c r="D43" s="15" t="s">
        <v>206</v>
      </c>
      <c r="E43" s="42"/>
      <c r="F43" s="42">
        <f>1</f>
        <v>1</v>
      </c>
      <c r="G43" s="13" t="s">
        <v>31</v>
      </c>
      <c r="H43" s="42">
        <f>3800.6/F43</f>
        <v>3800.6</v>
      </c>
      <c r="I43" s="55">
        <f t="shared" si="0"/>
        <v>3800.6</v>
      </c>
      <c r="J43" s="13" t="s">
        <v>121</v>
      </c>
      <c r="L43" s="2"/>
    </row>
    <row r="44" spans="1:12" ht="58.5" customHeight="1" x14ac:dyDescent="0.3">
      <c r="A44" s="6"/>
      <c r="B44" s="5"/>
      <c r="C44" s="4"/>
      <c r="D44" s="15" t="s">
        <v>231</v>
      </c>
      <c r="E44" s="42"/>
      <c r="F44" s="42">
        <f>6+5+2</f>
        <v>13</v>
      </c>
      <c r="G44" s="13" t="s">
        <v>149</v>
      </c>
      <c r="H44" s="46">
        <f>(1617.4+1355.8+540)/F44</f>
        <v>270.24615384615385</v>
      </c>
      <c r="I44" s="55">
        <f t="shared" ref="I44" si="1">F44*H44</f>
        <v>3513.2</v>
      </c>
      <c r="J44" s="13" t="s">
        <v>121</v>
      </c>
      <c r="L44" s="2"/>
    </row>
    <row r="45" spans="1:12" ht="32.25" x14ac:dyDescent="0.3">
      <c r="A45" s="6" t="s">
        <v>51</v>
      </c>
      <c r="B45" s="5"/>
      <c r="C45" s="4"/>
      <c r="D45" s="15" t="s">
        <v>218</v>
      </c>
      <c r="E45" s="42"/>
      <c r="F45" s="42">
        <f>4+183+154</f>
        <v>341</v>
      </c>
      <c r="G45" s="13" t="s">
        <v>54</v>
      </c>
      <c r="H45" s="46">
        <f>(1070.2+49010.2+97755.2)/F45</f>
        <v>433.53548387096765</v>
      </c>
      <c r="I45" s="55">
        <f t="shared" si="0"/>
        <v>147835.59999999998</v>
      </c>
      <c r="J45" s="13" t="s">
        <v>122</v>
      </c>
      <c r="L45" s="2"/>
    </row>
    <row r="46" spans="1:12" ht="32.25" x14ac:dyDescent="0.3">
      <c r="A46" s="6"/>
      <c r="B46" s="5"/>
      <c r="C46" s="4"/>
      <c r="D46" s="15" t="s">
        <v>217</v>
      </c>
      <c r="E46" s="42"/>
      <c r="F46" s="42">
        <v>0.24099999999999999</v>
      </c>
      <c r="G46" s="14" t="s">
        <v>113</v>
      </c>
      <c r="H46" s="46">
        <f>812.2/F46</f>
        <v>3370.1244813278013</v>
      </c>
      <c r="I46" s="55">
        <f t="shared" ref="I46:I47" si="2">F46*H46</f>
        <v>812.2</v>
      </c>
      <c r="J46" s="13" t="s">
        <v>122</v>
      </c>
      <c r="L46" s="2"/>
    </row>
    <row r="47" spans="1:12" ht="32.25" x14ac:dyDescent="0.3">
      <c r="A47" s="6"/>
      <c r="B47" s="5"/>
      <c r="C47" s="4"/>
      <c r="D47" s="15" t="s">
        <v>176</v>
      </c>
      <c r="E47" s="42"/>
      <c r="F47" s="42">
        <v>0.53900000000000003</v>
      </c>
      <c r="G47" s="14" t="s">
        <v>113</v>
      </c>
      <c r="H47" s="46">
        <f>1227.8/F47</f>
        <v>2277.9220779220777</v>
      </c>
      <c r="I47" s="55">
        <f t="shared" si="2"/>
        <v>1227.8</v>
      </c>
      <c r="J47" s="13" t="s">
        <v>122</v>
      </c>
      <c r="L47" s="2"/>
    </row>
    <row r="48" spans="1:12" ht="32.25" x14ac:dyDescent="0.3">
      <c r="A48" s="6"/>
      <c r="B48" s="5"/>
      <c r="C48" s="4"/>
      <c r="D48" s="15" t="s">
        <v>177</v>
      </c>
      <c r="E48" s="42"/>
      <c r="F48" s="42">
        <v>0.77300000000000002</v>
      </c>
      <c r="G48" s="14" t="s">
        <v>113</v>
      </c>
      <c r="H48" s="46">
        <f>2072.8/F48</f>
        <v>2681.5006468305305</v>
      </c>
      <c r="I48" s="55">
        <f t="shared" ref="I48" si="3">F48*H48</f>
        <v>2072.8000000000002</v>
      </c>
      <c r="J48" s="13" t="s">
        <v>122</v>
      </c>
      <c r="L48" s="2"/>
    </row>
    <row r="49" spans="1:12" ht="32.25" x14ac:dyDescent="0.3">
      <c r="A49" s="6" t="s">
        <v>59</v>
      </c>
      <c r="B49" s="8"/>
      <c r="C49" s="4"/>
      <c r="D49" s="15" t="s">
        <v>47</v>
      </c>
      <c r="E49" s="42"/>
      <c r="F49" s="42"/>
      <c r="G49" s="14" t="s">
        <v>53</v>
      </c>
      <c r="H49" s="42"/>
      <c r="I49" s="42" t="s">
        <v>140</v>
      </c>
      <c r="J49" s="13"/>
      <c r="L49" s="2"/>
    </row>
    <row r="50" spans="1:12" ht="18.75" x14ac:dyDescent="0.3">
      <c r="A50" s="6" t="s">
        <v>61</v>
      </c>
      <c r="B50" s="5"/>
      <c r="C50" s="4"/>
      <c r="D50" s="15" t="s">
        <v>190</v>
      </c>
      <c r="E50" s="42"/>
      <c r="F50" s="42"/>
      <c r="G50" s="14" t="s">
        <v>191</v>
      </c>
      <c r="H50" s="46"/>
      <c r="I50" s="55"/>
      <c r="J50" s="13"/>
      <c r="L50" s="2"/>
    </row>
    <row r="51" spans="1:12" ht="18.75" x14ac:dyDescent="0.3">
      <c r="A51" s="6"/>
      <c r="B51" s="5"/>
      <c r="C51" s="4"/>
      <c r="D51" s="15" t="s">
        <v>183</v>
      </c>
      <c r="E51" s="42"/>
      <c r="F51" s="42"/>
      <c r="G51" s="14" t="s">
        <v>31</v>
      </c>
      <c r="H51" s="42"/>
      <c r="I51" s="55"/>
      <c r="J51" s="13"/>
      <c r="L51" s="2"/>
    </row>
    <row r="52" spans="1:12" ht="32.25" x14ac:dyDescent="0.3">
      <c r="A52" s="6" t="s">
        <v>62</v>
      </c>
      <c r="B52" s="5"/>
      <c r="C52" s="4"/>
      <c r="D52" s="15" t="s">
        <v>64</v>
      </c>
      <c r="E52" s="42" t="s">
        <v>140</v>
      </c>
      <c r="F52" s="42" t="s">
        <v>140</v>
      </c>
      <c r="G52" s="13" t="s">
        <v>30</v>
      </c>
      <c r="H52" s="42"/>
      <c r="I52" s="42" t="s">
        <v>140</v>
      </c>
      <c r="J52" s="13"/>
      <c r="L52" s="2"/>
    </row>
    <row r="53" spans="1:12" ht="18.75" x14ac:dyDescent="0.3">
      <c r="A53" s="6" t="s">
        <v>58</v>
      </c>
      <c r="B53" s="8"/>
      <c r="C53" s="4"/>
      <c r="D53" s="4" t="s">
        <v>48</v>
      </c>
      <c r="E53" s="42" t="s">
        <v>140</v>
      </c>
      <c r="F53" s="42" t="s">
        <v>140</v>
      </c>
      <c r="G53" s="14" t="s">
        <v>53</v>
      </c>
      <c r="H53" s="42"/>
      <c r="I53" s="42" t="s">
        <v>140</v>
      </c>
      <c r="J53" s="13"/>
      <c r="L53" s="2"/>
    </row>
    <row r="54" spans="1:12" ht="24" customHeight="1" x14ac:dyDescent="0.3">
      <c r="A54" s="6" t="s">
        <v>60</v>
      </c>
      <c r="B54" s="8"/>
      <c r="C54" s="4"/>
      <c r="D54" s="4" t="s">
        <v>49</v>
      </c>
      <c r="E54" s="42" t="s">
        <v>140</v>
      </c>
      <c r="F54" s="42" t="s">
        <v>140</v>
      </c>
      <c r="G54" s="14" t="s">
        <v>53</v>
      </c>
      <c r="H54" s="42"/>
      <c r="I54" s="42" t="s">
        <v>140</v>
      </c>
      <c r="J54" s="13"/>
      <c r="L54" s="2"/>
    </row>
    <row r="55" spans="1:12" ht="18.75" x14ac:dyDescent="0.3">
      <c r="A55" s="6" t="s">
        <v>65</v>
      </c>
      <c r="B55" s="5"/>
      <c r="C55" s="4"/>
      <c r="D55" s="4" t="s">
        <v>93</v>
      </c>
      <c r="E55" s="42" t="s">
        <v>140</v>
      </c>
      <c r="F55" s="42" t="s">
        <v>140</v>
      </c>
      <c r="G55" s="14" t="s">
        <v>54</v>
      </c>
      <c r="H55" s="42"/>
      <c r="I55" s="42" t="s">
        <v>140</v>
      </c>
      <c r="J55" s="13"/>
      <c r="L55" s="2"/>
    </row>
    <row r="56" spans="1:12" ht="18.75" x14ac:dyDescent="0.3">
      <c r="A56" s="28"/>
      <c r="B56" s="22"/>
      <c r="C56" s="22"/>
      <c r="D56" s="22"/>
      <c r="E56" s="45"/>
      <c r="F56" s="45"/>
      <c r="G56" s="12"/>
      <c r="H56" s="42"/>
      <c r="I56" s="42">
        <f>SUM(I39:I55)</f>
        <v>286147.99999999994</v>
      </c>
      <c r="J56" s="13"/>
      <c r="L56" s="2"/>
    </row>
    <row r="57" spans="1:12" ht="18.75" x14ac:dyDescent="0.3">
      <c r="A57" s="76" t="s">
        <v>67</v>
      </c>
      <c r="B57" s="77"/>
      <c r="C57" s="77"/>
      <c r="D57" s="77"/>
      <c r="E57" s="77"/>
      <c r="F57" s="77"/>
      <c r="G57" s="78"/>
      <c r="H57" s="18"/>
      <c r="I57" s="5"/>
      <c r="J57" s="13"/>
      <c r="L57" s="2"/>
    </row>
    <row r="58" spans="1:12" ht="37.5" x14ac:dyDescent="0.25">
      <c r="A58" s="9" t="s">
        <v>29</v>
      </c>
      <c r="B58" s="8"/>
      <c r="C58" s="4"/>
      <c r="D58" s="15" t="s">
        <v>144</v>
      </c>
      <c r="E58" s="42" t="s">
        <v>140</v>
      </c>
      <c r="F58" s="42" t="s">
        <v>140</v>
      </c>
      <c r="G58" s="13" t="s">
        <v>54</v>
      </c>
      <c r="H58" s="42"/>
      <c r="I58" s="42" t="s">
        <v>140</v>
      </c>
      <c r="J58" s="13"/>
      <c r="L58" s="2"/>
    </row>
    <row r="59" spans="1:12" ht="18.75" x14ac:dyDescent="0.25">
      <c r="A59" s="9"/>
      <c r="B59" s="8"/>
      <c r="C59" s="4"/>
      <c r="D59" s="15" t="s">
        <v>212</v>
      </c>
      <c r="E59" s="42"/>
      <c r="F59" s="42">
        <f>1.05</f>
        <v>1.05</v>
      </c>
      <c r="G59" s="13" t="s">
        <v>213</v>
      </c>
      <c r="H59" s="46">
        <f>5092/F59</f>
        <v>4849.5238095238092</v>
      </c>
      <c r="I59" s="55">
        <f>F59*H59</f>
        <v>5092</v>
      </c>
      <c r="J59" s="13" t="s">
        <v>151</v>
      </c>
      <c r="L59" s="2"/>
    </row>
    <row r="60" spans="1:12" ht="46.5" customHeight="1" x14ac:dyDescent="0.25">
      <c r="A60" s="9" t="s">
        <v>92</v>
      </c>
      <c r="B60" s="8"/>
      <c r="C60" s="4"/>
      <c r="D60" s="43" t="s">
        <v>126</v>
      </c>
      <c r="E60" s="32"/>
      <c r="F60" s="13">
        <f>2825</f>
        <v>2825</v>
      </c>
      <c r="G60" s="13" t="s">
        <v>113</v>
      </c>
      <c r="H60" s="33">
        <f>(13224.6+13224.6+13224.6+13307.4+13307.4+13307.4+13823+13823+13823+14002.8+14002.8+14002.8)/F60</f>
        <v>57.725097345132731</v>
      </c>
      <c r="I60" s="33">
        <f t="shared" ref="I60:I81" si="4">F60*H60</f>
        <v>163073.39999999997</v>
      </c>
      <c r="J60" s="13" t="s">
        <v>116</v>
      </c>
      <c r="L60" s="2"/>
    </row>
    <row r="61" spans="1:12" ht="46.5" customHeight="1" x14ac:dyDescent="0.25">
      <c r="A61" s="9"/>
      <c r="B61" s="8"/>
      <c r="C61" s="4"/>
      <c r="D61" s="15" t="s">
        <v>111</v>
      </c>
      <c r="E61" s="32"/>
      <c r="F61" s="13">
        <f>6048+6048-6048</f>
        <v>6048</v>
      </c>
      <c r="G61" s="13" t="s">
        <v>30</v>
      </c>
      <c r="H61" s="33">
        <f>552535.8/F61</f>
        <v>91.358432539682553</v>
      </c>
      <c r="I61" s="33">
        <f t="shared" si="4"/>
        <v>552535.80000000005</v>
      </c>
      <c r="J61" s="13" t="s">
        <v>118</v>
      </c>
      <c r="L61" s="2"/>
    </row>
    <row r="62" spans="1:12" ht="46.5" customHeight="1" x14ac:dyDescent="0.25">
      <c r="A62" s="9"/>
      <c r="B62" s="8"/>
      <c r="C62" s="4"/>
      <c r="D62" s="15" t="s">
        <v>112</v>
      </c>
      <c r="E62" s="42"/>
      <c r="F62" s="42">
        <f>511+511-511</f>
        <v>511</v>
      </c>
      <c r="G62" s="13" t="s">
        <v>30</v>
      </c>
      <c r="H62" s="46">
        <f>47171.2/F62</f>
        <v>92.311545988258317</v>
      </c>
      <c r="I62" s="42">
        <f t="shared" si="4"/>
        <v>47171.199999999997</v>
      </c>
      <c r="J62" s="13" t="s">
        <v>118</v>
      </c>
      <c r="L62" s="2"/>
    </row>
    <row r="63" spans="1:12" ht="46.5" customHeight="1" x14ac:dyDescent="0.25">
      <c r="A63" s="9"/>
      <c r="B63" s="8"/>
      <c r="C63" s="4"/>
      <c r="D63" s="15" t="s">
        <v>159</v>
      </c>
      <c r="E63" s="42"/>
      <c r="F63" s="42">
        <f>1+1+2</f>
        <v>4</v>
      </c>
      <c r="G63" s="13" t="s">
        <v>31</v>
      </c>
      <c r="H63" s="42">
        <f>(1452.8+1532.6+3066.4)/F63</f>
        <v>1512.9499999999998</v>
      </c>
      <c r="I63" s="42">
        <f t="shared" ref="I63:I68" si="5">F63*H63</f>
        <v>6051.7999999999993</v>
      </c>
      <c r="J63" s="13" t="s">
        <v>116</v>
      </c>
      <c r="L63" s="2"/>
    </row>
    <row r="64" spans="1:12" ht="46.5" customHeight="1" x14ac:dyDescent="0.25">
      <c r="A64" s="9"/>
      <c r="B64" s="8"/>
      <c r="C64" s="4"/>
      <c r="D64" s="15" t="s">
        <v>172</v>
      </c>
      <c r="E64" s="42"/>
      <c r="F64" s="42">
        <f>1</f>
        <v>1</v>
      </c>
      <c r="G64" s="13" t="s">
        <v>31</v>
      </c>
      <c r="H64" s="42">
        <f>953.2/F64</f>
        <v>953.2</v>
      </c>
      <c r="I64" s="42">
        <f>F64*H64</f>
        <v>953.2</v>
      </c>
      <c r="J64" s="13" t="s">
        <v>118</v>
      </c>
      <c r="L64" s="2"/>
    </row>
    <row r="65" spans="1:12" ht="46.5" customHeight="1" x14ac:dyDescent="0.25">
      <c r="A65" s="9"/>
      <c r="B65" s="8"/>
      <c r="C65" s="4"/>
      <c r="D65" s="15" t="s">
        <v>173</v>
      </c>
      <c r="E65" s="42"/>
      <c r="F65" s="42">
        <f>1</f>
        <v>1</v>
      </c>
      <c r="G65" s="13" t="s">
        <v>31</v>
      </c>
      <c r="H65" s="42">
        <f>3695.2</f>
        <v>3695.2</v>
      </c>
      <c r="I65" s="42">
        <f>F65*H65</f>
        <v>3695.2</v>
      </c>
      <c r="J65" s="13" t="s">
        <v>118</v>
      </c>
      <c r="L65" s="2"/>
    </row>
    <row r="66" spans="1:12" ht="46.5" customHeight="1" x14ac:dyDescent="0.25">
      <c r="A66" s="9"/>
      <c r="B66" s="8"/>
      <c r="C66" s="4"/>
      <c r="D66" s="15" t="s">
        <v>158</v>
      </c>
      <c r="E66" s="42"/>
      <c r="F66" s="42">
        <v>2</v>
      </c>
      <c r="G66" s="13" t="s">
        <v>31</v>
      </c>
      <c r="H66" s="42">
        <f>3004.4/F66</f>
        <v>1502.2</v>
      </c>
      <c r="I66" s="42">
        <f t="shared" si="5"/>
        <v>3004.4</v>
      </c>
      <c r="J66" s="13" t="s">
        <v>118</v>
      </c>
      <c r="L66" s="2"/>
    </row>
    <row r="67" spans="1:12" ht="46.5" customHeight="1" x14ac:dyDescent="0.25">
      <c r="A67" s="9"/>
      <c r="B67" s="8"/>
      <c r="C67" s="4"/>
      <c r="D67" s="15" t="s">
        <v>192</v>
      </c>
      <c r="E67" s="42"/>
      <c r="F67" s="42">
        <f>2</f>
        <v>2</v>
      </c>
      <c r="G67" s="13" t="s">
        <v>31</v>
      </c>
      <c r="H67" s="42">
        <f>25705.4/F67</f>
        <v>12852.7</v>
      </c>
      <c r="I67" s="42">
        <f t="shared" ref="I67" si="6">F67*H67</f>
        <v>25705.4</v>
      </c>
      <c r="J67" s="13" t="s">
        <v>118</v>
      </c>
      <c r="L67" s="2"/>
    </row>
    <row r="68" spans="1:12" ht="46.5" customHeight="1" x14ac:dyDescent="0.25">
      <c r="A68" s="9"/>
      <c r="B68" s="8"/>
      <c r="C68" s="4"/>
      <c r="D68" s="15" t="s">
        <v>179</v>
      </c>
      <c r="E68" s="42"/>
      <c r="F68" s="42">
        <f>2</f>
        <v>2</v>
      </c>
      <c r="G68" s="13" t="s">
        <v>31</v>
      </c>
      <c r="H68" s="46">
        <f>16208.8/F68</f>
        <v>8104.4</v>
      </c>
      <c r="I68" s="42">
        <f t="shared" si="5"/>
        <v>16208.8</v>
      </c>
      <c r="J68" s="13" t="s">
        <v>118</v>
      </c>
      <c r="L68" s="2"/>
    </row>
    <row r="69" spans="1:12" ht="46.5" customHeight="1" x14ac:dyDescent="0.25">
      <c r="A69" s="9"/>
      <c r="B69" s="8"/>
      <c r="C69" s="4"/>
      <c r="D69" s="15" t="s">
        <v>174</v>
      </c>
      <c r="E69" s="42"/>
      <c r="F69" s="42">
        <f>6+2+2</f>
        <v>10</v>
      </c>
      <c r="G69" s="13" t="s">
        <v>30</v>
      </c>
      <c r="H69" s="46">
        <f>(7650.8+2532.6+2532.6)/F69</f>
        <v>1271.5999999999999</v>
      </c>
      <c r="I69" s="55">
        <f t="shared" ref="I69:I71" si="7">F69*H69</f>
        <v>12716</v>
      </c>
      <c r="J69" s="13" t="s">
        <v>116</v>
      </c>
      <c r="L69" s="2"/>
    </row>
    <row r="70" spans="1:12" ht="46.5" customHeight="1" x14ac:dyDescent="0.25">
      <c r="A70" s="9"/>
      <c r="B70" s="8"/>
      <c r="C70" s="4"/>
      <c r="D70" s="15" t="s">
        <v>235</v>
      </c>
      <c r="E70" s="42"/>
      <c r="F70" s="42">
        <f>2</f>
        <v>2</v>
      </c>
      <c r="G70" s="13" t="s">
        <v>30</v>
      </c>
      <c r="H70" s="42">
        <f>2299.8/F70</f>
        <v>1149.9000000000001</v>
      </c>
      <c r="I70" s="55">
        <f t="shared" ref="I70" si="8">F70*H70</f>
        <v>2299.8000000000002</v>
      </c>
      <c r="J70" s="13"/>
      <c r="L70" s="2"/>
    </row>
    <row r="71" spans="1:12" ht="46.5" customHeight="1" x14ac:dyDescent="0.25">
      <c r="A71" s="9"/>
      <c r="B71" s="8"/>
      <c r="C71" s="4"/>
      <c r="D71" s="15" t="s">
        <v>169</v>
      </c>
      <c r="E71" s="31"/>
      <c r="F71" s="31">
        <f>1+5</f>
        <v>6</v>
      </c>
      <c r="G71" s="13" t="s">
        <v>155</v>
      </c>
      <c r="H71" s="54">
        <f>(7257.4+36887.2)/F71</f>
        <v>7357.4333333333334</v>
      </c>
      <c r="I71" s="56">
        <f t="shared" si="7"/>
        <v>44144.6</v>
      </c>
      <c r="J71" s="13" t="s">
        <v>116</v>
      </c>
      <c r="L71" s="2"/>
    </row>
    <row r="72" spans="1:12" ht="46.5" customHeight="1" x14ac:dyDescent="0.25">
      <c r="A72" s="9"/>
      <c r="B72" s="8"/>
      <c r="C72" s="4"/>
      <c r="D72" s="15" t="s">
        <v>175</v>
      </c>
      <c r="E72" s="31"/>
      <c r="F72" s="31">
        <f>3</f>
        <v>3</v>
      </c>
      <c r="G72" s="13" t="s">
        <v>155</v>
      </c>
      <c r="H72" s="54">
        <f>22562/F72</f>
        <v>7520.666666666667</v>
      </c>
      <c r="I72" s="56">
        <f t="shared" ref="I72:I73" si="9">F72*H72</f>
        <v>22562</v>
      </c>
      <c r="J72" s="13" t="s">
        <v>121</v>
      </c>
      <c r="L72" s="2"/>
    </row>
    <row r="73" spans="1:12" ht="46.5" customHeight="1" x14ac:dyDescent="0.25">
      <c r="A73" s="9"/>
      <c r="B73" s="8"/>
      <c r="C73" s="4"/>
      <c r="D73" s="15" t="s">
        <v>197</v>
      </c>
      <c r="E73" s="31"/>
      <c r="F73" s="31">
        <f>1</f>
        <v>1</v>
      </c>
      <c r="G73" s="13" t="s">
        <v>155</v>
      </c>
      <c r="H73" s="54">
        <f>7665.4/F73</f>
        <v>7665.4</v>
      </c>
      <c r="I73" s="56">
        <f t="shared" si="9"/>
        <v>7665.4</v>
      </c>
      <c r="J73" s="13" t="s">
        <v>121</v>
      </c>
      <c r="L73" s="2"/>
    </row>
    <row r="74" spans="1:12" ht="46.5" customHeight="1" x14ac:dyDescent="0.25">
      <c r="A74" s="9"/>
      <c r="B74" s="8"/>
      <c r="C74" s="4"/>
      <c r="D74" s="15" t="s">
        <v>199</v>
      </c>
      <c r="E74" s="42"/>
      <c r="F74" s="42">
        <f>1.5</f>
        <v>1.5</v>
      </c>
      <c r="G74" s="13" t="s">
        <v>30</v>
      </c>
      <c r="H74" s="46">
        <f>6006.8/F74</f>
        <v>4004.5333333333333</v>
      </c>
      <c r="I74" s="55">
        <f t="shared" ref="I74" si="10">F74*H74</f>
        <v>6006.8</v>
      </c>
      <c r="J74" s="13" t="s">
        <v>121</v>
      </c>
      <c r="L74" s="2"/>
    </row>
    <row r="75" spans="1:12" ht="46.5" customHeight="1" x14ac:dyDescent="0.25">
      <c r="A75" s="9"/>
      <c r="B75" s="8"/>
      <c r="C75" s="4"/>
      <c r="D75" s="15" t="s">
        <v>207</v>
      </c>
      <c r="E75" s="31"/>
      <c r="F75" s="31">
        <f>2+3</f>
        <v>5</v>
      </c>
      <c r="G75" s="13" t="s">
        <v>153</v>
      </c>
      <c r="H75" s="66">
        <f>(1099.4+1661.8)/F75</f>
        <v>552.24</v>
      </c>
      <c r="I75" s="56">
        <f>F75*H75</f>
        <v>2761.2</v>
      </c>
      <c r="J75" s="13" t="s">
        <v>151</v>
      </c>
      <c r="L75" s="2"/>
    </row>
    <row r="76" spans="1:12" ht="46.5" customHeight="1" x14ac:dyDescent="0.25">
      <c r="A76" s="9"/>
      <c r="B76" s="8"/>
      <c r="C76" s="4"/>
      <c r="D76" s="15" t="s">
        <v>171</v>
      </c>
      <c r="E76" s="42"/>
      <c r="F76" s="42">
        <f>8</f>
        <v>8</v>
      </c>
      <c r="G76" s="13" t="s">
        <v>149</v>
      </c>
      <c r="H76" s="46">
        <f>2837.4/F76</f>
        <v>354.67500000000001</v>
      </c>
      <c r="I76" s="55">
        <f t="shared" ref="I76:I78" si="11">F76*H76</f>
        <v>2837.4</v>
      </c>
      <c r="J76" s="13" t="s">
        <v>151</v>
      </c>
      <c r="L76" s="2"/>
    </row>
    <row r="77" spans="1:12" ht="74.25" customHeight="1" x14ac:dyDescent="0.25">
      <c r="A77" s="9"/>
      <c r="B77" s="8"/>
      <c r="C77" s="4"/>
      <c r="D77" s="15" t="s">
        <v>211</v>
      </c>
      <c r="E77" s="42"/>
      <c r="F77" s="42">
        <f>6+2</f>
        <v>8</v>
      </c>
      <c r="G77" s="13" t="s">
        <v>31</v>
      </c>
      <c r="H77" s="46">
        <f>(283.8+7475)/F77</f>
        <v>969.85</v>
      </c>
      <c r="I77" s="55">
        <f t="shared" si="11"/>
        <v>7758.8</v>
      </c>
      <c r="J77" s="13" t="s">
        <v>151</v>
      </c>
      <c r="L77" s="2"/>
    </row>
    <row r="78" spans="1:12" ht="46.5" customHeight="1" x14ac:dyDescent="0.25">
      <c r="A78" s="9"/>
      <c r="B78" s="8"/>
      <c r="C78" s="4"/>
      <c r="D78" s="15" t="s">
        <v>154</v>
      </c>
      <c r="E78" s="42" t="s">
        <v>140</v>
      </c>
      <c r="F78" s="42">
        <f>8</f>
        <v>8</v>
      </c>
      <c r="G78" s="13" t="s">
        <v>149</v>
      </c>
      <c r="H78" s="46">
        <f>4058.4/F78</f>
        <v>507.3</v>
      </c>
      <c r="I78" s="55">
        <f t="shared" si="11"/>
        <v>4058.4</v>
      </c>
      <c r="J78" s="13" t="s">
        <v>151</v>
      </c>
      <c r="L78" s="2"/>
    </row>
    <row r="79" spans="1:12" ht="46.5" customHeight="1" x14ac:dyDescent="0.25">
      <c r="A79" s="9"/>
      <c r="B79" s="8"/>
      <c r="C79" s="4"/>
      <c r="D79" s="15" t="s">
        <v>168</v>
      </c>
      <c r="E79" s="31"/>
      <c r="F79" s="31">
        <f>2</f>
        <v>2</v>
      </c>
      <c r="G79" s="13" t="s">
        <v>153</v>
      </c>
      <c r="H79" s="31">
        <f>1969.4/F79</f>
        <v>984.7</v>
      </c>
      <c r="I79" s="56">
        <f>F79*H79</f>
        <v>1969.4</v>
      </c>
      <c r="J79" s="13" t="s">
        <v>121</v>
      </c>
      <c r="L79" s="2"/>
    </row>
    <row r="80" spans="1:12" ht="46.5" customHeight="1" x14ac:dyDescent="0.25">
      <c r="A80" s="9"/>
      <c r="B80" s="8"/>
      <c r="C80" s="4"/>
      <c r="D80" s="15" t="s">
        <v>196</v>
      </c>
      <c r="E80" s="31"/>
      <c r="F80" s="31">
        <f>1</f>
        <v>1</v>
      </c>
      <c r="G80" s="13" t="s">
        <v>31</v>
      </c>
      <c r="H80" s="31">
        <f>1532.6/F80</f>
        <v>1532.6</v>
      </c>
      <c r="I80" s="62">
        <f>F80*H80</f>
        <v>1532.6</v>
      </c>
      <c r="J80" s="13" t="s">
        <v>118</v>
      </c>
      <c r="L80" s="2"/>
    </row>
    <row r="81" spans="1:12" ht="46.5" customHeight="1" x14ac:dyDescent="0.25">
      <c r="A81" s="9"/>
      <c r="B81" s="8"/>
      <c r="C81" s="4"/>
      <c r="D81" s="15" t="s">
        <v>200</v>
      </c>
      <c r="E81" s="32"/>
      <c r="F81" s="13">
        <f>2</f>
        <v>2</v>
      </c>
      <c r="G81" s="13" t="s">
        <v>31</v>
      </c>
      <c r="H81" s="13">
        <f>41966.8/F81</f>
        <v>20983.4</v>
      </c>
      <c r="I81" s="57">
        <f t="shared" si="4"/>
        <v>41966.8</v>
      </c>
      <c r="J81" s="13" t="s">
        <v>118</v>
      </c>
      <c r="L81" s="2"/>
    </row>
    <row r="82" spans="1:12" ht="46.5" customHeight="1" x14ac:dyDescent="0.25">
      <c r="A82" s="9"/>
      <c r="B82" s="8"/>
      <c r="C82" s="4"/>
      <c r="D82" s="15" t="s">
        <v>201</v>
      </c>
      <c r="E82" s="32"/>
      <c r="F82" s="31">
        <f>2</f>
        <v>2</v>
      </c>
      <c r="G82" s="13" t="s">
        <v>31</v>
      </c>
      <c r="H82" s="31">
        <f>14759.2/F82</f>
        <v>7379.6</v>
      </c>
      <c r="I82" s="56">
        <f>F82*H82</f>
        <v>14759.2</v>
      </c>
      <c r="J82" s="13" t="s">
        <v>118</v>
      </c>
      <c r="L82" s="2"/>
    </row>
    <row r="83" spans="1:12" ht="46.5" customHeight="1" x14ac:dyDescent="0.25">
      <c r="A83" s="9"/>
      <c r="B83" s="8"/>
      <c r="C83" s="4"/>
      <c r="D83" s="15" t="s">
        <v>164</v>
      </c>
      <c r="E83" s="32"/>
      <c r="F83" s="31">
        <f>1.5+1.5</f>
        <v>3</v>
      </c>
      <c r="G83" s="13" t="s">
        <v>149</v>
      </c>
      <c r="H83" s="54">
        <f>(5260.6+5503)/F83</f>
        <v>3587.8666666666668</v>
      </c>
      <c r="I83" s="56">
        <f>F83*H83</f>
        <v>10763.6</v>
      </c>
      <c r="J83" s="13" t="s">
        <v>118</v>
      </c>
      <c r="L83" s="2"/>
    </row>
    <row r="84" spans="1:12" ht="31.5" x14ac:dyDescent="0.25">
      <c r="A84" s="9" t="s">
        <v>83</v>
      </c>
      <c r="B84" s="8"/>
      <c r="C84" s="4"/>
      <c r="D84" s="15" t="s">
        <v>162</v>
      </c>
      <c r="E84" s="42" t="s">
        <v>140</v>
      </c>
      <c r="F84" s="42">
        <f>8</f>
        <v>8</v>
      </c>
      <c r="G84" s="13" t="s">
        <v>54</v>
      </c>
      <c r="H84" s="42">
        <f>9762.4/F84</f>
        <v>1220.3</v>
      </c>
      <c r="I84" s="55">
        <f>F84*H84</f>
        <v>9762.4</v>
      </c>
      <c r="J84" s="13" t="s">
        <v>118</v>
      </c>
      <c r="L84" s="2"/>
    </row>
    <row r="85" spans="1:12" ht="31.5" x14ac:dyDescent="0.25">
      <c r="A85" s="9"/>
      <c r="B85" s="8"/>
      <c r="C85" s="4"/>
      <c r="D85" s="15" t="s">
        <v>163</v>
      </c>
      <c r="E85" s="42" t="s">
        <v>140</v>
      </c>
      <c r="F85" s="42">
        <f>2</f>
        <v>2</v>
      </c>
      <c r="G85" s="13" t="s">
        <v>54</v>
      </c>
      <c r="H85" s="42">
        <f>3562.2/F85</f>
        <v>1781.1</v>
      </c>
      <c r="I85" s="55">
        <f>F85*H85</f>
        <v>3562.2</v>
      </c>
      <c r="J85" s="13" t="s">
        <v>118</v>
      </c>
      <c r="L85" s="2"/>
    </row>
    <row r="86" spans="1:12" ht="31.5" x14ac:dyDescent="0.25">
      <c r="A86" s="9"/>
      <c r="B86" s="8"/>
      <c r="C86" s="4"/>
      <c r="D86" s="15" t="s">
        <v>227</v>
      </c>
      <c r="E86" s="42" t="s">
        <v>140</v>
      </c>
      <c r="F86" s="42">
        <f>6+1+1+7+10+6</f>
        <v>31</v>
      </c>
      <c r="G86" s="13" t="s">
        <v>31</v>
      </c>
      <c r="H86" s="46">
        <f>(8609.2+1764.4+1210+8461.2+12089+7321.2)/F86</f>
        <v>1272.741935483871</v>
      </c>
      <c r="I86" s="55">
        <f t="shared" ref="I86:I89" si="12">F86*H86</f>
        <v>39455</v>
      </c>
      <c r="J86" s="13" t="s">
        <v>151</v>
      </c>
      <c r="L86" s="2"/>
    </row>
    <row r="87" spans="1:12" ht="18.75" x14ac:dyDescent="0.25">
      <c r="A87" s="9"/>
      <c r="B87" s="8"/>
      <c r="C87" s="4"/>
      <c r="D87" s="15" t="s">
        <v>133</v>
      </c>
      <c r="E87" s="42" t="s">
        <v>140</v>
      </c>
      <c r="F87" s="42">
        <f>1+4</f>
        <v>5</v>
      </c>
      <c r="G87" s="13" t="s">
        <v>31</v>
      </c>
      <c r="H87" s="42">
        <f>(1206.8+4878.2)/F87</f>
        <v>1217</v>
      </c>
      <c r="I87" s="55">
        <f t="shared" si="12"/>
        <v>6085</v>
      </c>
      <c r="J87" s="13" t="s">
        <v>122</v>
      </c>
      <c r="L87" s="2"/>
    </row>
    <row r="88" spans="1:12" ht="18.75" x14ac:dyDescent="0.25">
      <c r="A88" s="9"/>
      <c r="B88" s="8"/>
      <c r="C88" s="4"/>
      <c r="D88" s="15" t="s">
        <v>195</v>
      </c>
      <c r="E88" s="42" t="s">
        <v>140</v>
      </c>
      <c r="F88" s="42">
        <f>1</f>
        <v>1</v>
      </c>
      <c r="G88" s="13" t="s">
        <v>31</v>
      </c>
      <c r="H88" s="42">
        <f>38036.8/F88</f>
        <v>38036.800000000003</v>
      </c>
      <c r="I88" s="55">
        <f t="shared" si="12"/>
        <v>38036.800000000003</v>
      </c>
      <c r="J88" s="13" t="s">
        <v>122</v>
      </c>
      <c r="L88" s="2"/>
    </row>
    <row r="89" spans="1:12" ht="31.5" x14ac:dyDescent="0.25">
      <c r="A89" s="9"/>
      <c r="B89" s="8"/>
      <c r="C89" s="4"/>
      <c r="D89" s="15" t="s">
        <v>226</v>
      </c>
      <c r="E89" s="42"/>
      <c r="F89" s="42">
        <f>1</f>
        <v>1</v>
      </c>
      <c r="G89" s="13" t="s">
        <v>31</v>
      </c>
      <c r="H89" s="46">
        <f>1452.8/F89</f>
        <v>1452.8</v>
      </c>
      <c r="I89" s="55">
        <f t="shared" si="12"/>
        <v>1452.8</v>
      </c>
      <c r="J89" s="13" t="s">
        <v>116</v>
      </c>
      <c r="L89" s="2"/>
    </row>
    <row r="90" spans="1:12" ht="18.75" x14ac:dyDescent="0.25">
      <c r="A90" s="9" t="s">
        <v>20</v>
      </c>
      <c r="B90" s="8"/>
      <c r="C90" s="4"/>
      <c r="D90" s="15" t="s">
        <v>68</v>
      </c>
      <c r="E90" s="42"/>
      <c r="F90" s="42"/>
      <c r="G90" s="13" t="s">
        <v>30</v>
      </c>
      <c r="H90" s="42"/>
      <c r="I90" s="42" t="s">
        <v>140</v>
      </c>
      <c r="J90" s="13"/>
      <c r="L90" s="2"/>
    </row>
    <row r="91" spans="1:12" ht="31.5" x14ac:dyDescent="0.25">
      <c r="A91" s="9" t="s">
        <v>21</v>
      </c>
      <c r="B91" s="8"/>
      <c r="C91" s="4"/>
      <c r="D91" s="15" t="s">
        <v>70</v>
      </c>
      <c r="E91" s="42"/>
      <c r="F91" s="42"/>
      <c r="G91" s="13" t="s">
        <v>145</v>
      </c>
      <c r="H91" s="42"/>
      <c r="I91" s="42"/>
      <c r="J91" s="13"/>
      <c r="L91" s="2"/>
    </row>
    <row r="92" spans="1:12" ht="18.75" x14ac:dyDescent="0.25">
      <c r="A92" s="47"/>
      <c r="B92" s="48"/>
      <c r="C92" s="22"/>
      <c r="D92" s="30"/>
      <c r="E92" s="45"/>
      <c r="F92" s="45"/>
      <c r="G92" s="31"/>
      <c r="H92" s="42"/>
      <c r="I92" s="46">
        <f>SUM(I60:I91)</f>
        <v>1100555.4000000001</v>
      </c>
      <c r="J92" s="13"/>
      <c r="L92" s="2"/>
    </row>
    <row r="93" spans="1:12" ht="18.75" x14ac:dyDescent="0.3">
      <c r="A93" s="72" t="s">
        <v>71</v>
      </c>
      <c r="B93" s="73"/>
      <c r="C93" s="73"/>
      <c r="D93" s="73"/>
      <c r="E93" s="73"/>
      <c r="F93" s="73"/>
      <c r="G93" s="74"/>
      <c r="H93" s="19"/>
      <c r="I93" s="5"/>
      <c r="J93" s="13"/>
      <c r="L93" s="2"/>
    </row>
    <row r="94" spans="1:12" ht="37.5" x14ac:dyDescent="0.25">
      <c r="A94" s="9" t="s">
        <v>92</v>
      </c>
      <c r="B94" s="8"/>
      <c r="C94" s="4"/>
      <c r="D94" s="4" t="s">
        <v>128</v>
      </c>
      <c r="E94" s="31"/>
      <c r="F94" s="13">
        <f>4+3+4+3+3+8+4+5+3+2+4+7</f>
        <v>50</v>
      </c>
      <c r="G94" s="13" t="s">
        <v>115</v>
      </c>
      <c r="H94" s="33">
        <f>(2808.4+2106+2808.4+2118.2+2118.2+5651.6+2937.2+3670.2+2202+1486.6+2972.8+5203.6)/F94/3</f>
        <v>240.55466666666669</v>
      </c>
      <c r="I94" s="33">
        <f>F94*H94</f>
        <v>12027.733333333335</v>
      </c>
      <c r="J94" s="13" t="s">
        <v>116</v>
      </c>
      <c r="L94" s="2"/>
    </row>
    <row r="95" spans="1:12" ht="31.5" x14ac:dyDescent="0.25">
      <c r="A95" s="9"/>
      <c r="B95" s="8"/>
      <c r="C95" s="4"/>
      <c r="D95" s="15" t="s">
        <v>159</v>
      </c>
      <c r="E95" s="42"/>
      <c r="F95" s="42">
        <f>2</f>
        <v>2</v>
      </c>
      <c r="G95" s="13" t="s">
        <v>31</v>
      </c>
      <c r="H95" s="42">
        <f>2870/F95</f>
        <v>1435</v>
      </c>
      <c r="I95" s="42">
        <f t="shared" ref="I95" si="13">F95*H95</f>
        <v>2870</v>
      </c>
      <c r="J95" s="13" t="s">
        <v>116</v>
      </c>
      <c r="L95" s="2"/>
    </row>
    <row r="96" spans="1:12" ht="31.5" x14ac:dyDescent="0.25">
      <c r="A96" s="9"/>
      <c r="B96" s="8"/>
      <c r="C96" s="4"/>
      <c r="D96" s="15" t="s">
        <v>225</v>
      </c>
      <c r="E96" s="42"/>
      <c r="F96" s="42">
        <v>1</v>
      </c>
      <c r="G96" s="13" t="s">
        <v>149</v>
      </c>
      <c r="H96" s="42">
        <f>1663.6/F96</f>
        <v>1663.6</v>
      </c>
      <c r="I96" s="55">
        <f>F96*H96</f>
        <v>1663.6</v>
      </c>
      <c r="J96" s="13" t="s">
        <v>151</v>
      </c>
      <c r="L96" s="2"/>
    </row>
    <row r="97" spans="1:12" ht="18.75" x14ac:dyDescent="0.25">
      <c r="A97" s="9"/>
      <c r="B97" s="8"/>
      <c r="C97" s="4"/>
      <c r="D97" s="15" t="s">
        <v>168</v>
      </c>
      <c r="E97" s="31"/>
      <c r="F97" s="31">
        <f>1</f>
        <v>1</v>
      </c>
      <c r="G97" s="13" t="s">
        <v>153</v>
      </c>
      <c r="H97" s="31">
        <f>977.4/F97</f>
        <v>977.4</v>
      </c>
      <c r="I97" s="56">
        <f t="shared" ref="I97:I98" si="14">F97*H97</f>
        <v>977.4</v>
      </c>
      <c r="J97" s="13" t="s">
        <v>118</v>
      </c>
      <c r="L97" s="2"/>
    </row>
    <row r="98" spans="1:12" ht="31.5" x14ac:dyDescent="0.25">
      <c r="A98" s="9"/>
      <c r="B98" s="8"/>
      <c r="C98" s="4"/>
      <c r="D98" s="15" t="s">
        <v>169</v>
      </c>
      <c r="E98" s="31"/>
      <c r="F98" s="31">
        <f>2+2</f>
        <v>4</v>
      </c>
      <c r="G98" s="13" t="s">
        <v>155</v>
      </c>
      <c r="H98" s="54">
        <f>(14513.6+14756)/F98</f>
        <v>7317.4</v>
      </c>
      <c r="I98" s="56">
        <f t="shared" si="14"/>
        <v>29269.599999999999</v>
      </c>
      <c r="J98" s="13" t="s">
        <v>118</v>
      </c>
      <c r="L98" s="2"/>
    </row>
    <row r="99" spans="1:12" ht="31.5" x14ac:dyDescent="0.25">
      <c r="A99" s="9"/>
      <c r="B99" s="8"/>
      <c r="C99" s="4"/>
      <c r="D99" s="15" t="s">
        <v>175</v>
      </c>
      <c r="E99" s="31"/>
      <c r="F99" s="31">
        <f>2+1+2+6+8+5+3+4+3</f>
        <v>34</v>
      </c>
      <c r="G99" s="13" t="s">
        <v>155</v>
      </c>
      <c r="H99" s="54">
        <f>(14233.6+7118.4+14351.4+44592.8+59455.6+37160.8+22562+30080.2+22562)/F99</f>
        <v>7415.2000000000016</v>
      </c>
      <c r="I99" s="56">
        <f t="shared" ref="I99" si="15">F99*H99</f>
        <v>252116.80000000005</v>
      </c>
      <c r="J99" s="13" t="s">
        <v>118</v>
      </c>
      <c r="L99" s="2"/>
    </row>
    <row r="100" spans="1:12" ht="31.5" x14ac:dyDescent="0.25">
      <c r="A100" s="9"/>
      <c r="B100" s="8"/>
      <c r="C100" s="4"/>
      <c r="D100" s="15" t="s">
        <v>197</v>
      </c>
      <c r="E100" s="31"/>
      <c r="F100" s="31">
        <f>2</f>
        <v>2</v>
      </c>
      <c r="G100" s="13" t="s">
        <v>155</v>
      </c>
      <c r="H100" s="54">
        <f>14818/F100</f>
        <v>7409</v>
      </c>
      <c r="I100" s="56">
        <f t="shared" ref="I100" si="16">F100*H100</f>
        <v>14818</v>
      </c>
      <c r="J100" s="13" t="s">
        <v>121</v>
      </c>
      <c r="L100" s="2"/>
    </row>
    <row r="101" spans="1:12" ht="31.5" x14ac:dyDescent="0.25">
      <c r="A101" s="9"/>
      <c r="B101" s="8"/>
      <c r="C101" s="4"/>
      <c r="D101" s="15" t="s">
        <v>189</v>
      </c>
      <c r="E101" s="42"/>
      <c r="F101" s="42">
        <f>9</f>
        <v>9</v>
      </c>
      <c r="G101" s="13" t="s">
        <v>30</v>
      </c>
      <c r="H101" s="46">
        <f>39234/F101</f>
        <v>4359.333333333333</v>
      </c>
      <c r="I101" s="55">
        <f>F101*H101</f>
        <v>39234</v>
      </c>
      <c r="J101" s="13" t="s">
        <v>118</v>
      </c>
      <c r="L101" s="2"/>
    </row>
    <row r="102" spans="1:12" ht="18.75" x14ac:dyDescent="0.25">
      <c r="A102" s="9"/>
      <c r="B102" s="8"/>
      <c r="C102" s="4"/>
      <c r="D102" s="15" t="s">
        <v>221</v>
      </c>
      <c r="E102" s="42"/>
      <c r="F102" s="42">
        <f>3</f>
        <v>3</v>
      </c>
      <c r="G102" s="13" t="s">
        <v>31</v>
      </c>
      <c r="H102" s="46">
        <f>11404.4/F102</f>
        <v>3801.4666666666667</v>
      </c>
      <c r="I102" s="42">
        <f>F102*H102</f>
        <v>11404.4</v>
      </c>
      <c r="J102" s="13"/>
      <c r="L102" s="2"/>
    </row>
    <row r="103" spans="1:12" ht="18.75" x14ac:dyDescent="0.25">
      <c r="A103" s="9"/>
      <c r="B103" s="8"/>
      <c r="C103" s="4"/>
      <c r="D103" s="15" t="s">
        <v>222</v>
      </c>
      <c r="E103" s="42"/>
      <c r="F103" s="42">
        <v>1</v>
      </c>
      <c r="G103" s="13" t="s">
        <v>31</v>
      </c>
      <c r="H103" s="42">
        <f>6406.2/F103</f>
        <v>6406.2</v>
      </c>
      <c r="I103" s="42">
        <f>F103*H103</f>
        <v>6406.2</v>
      </c>
      <c r="J103" s="13"/>
      <c r="L103" s="2"/>
    </row>
    <row r="104" spans="1:12" ht="18.75" x14ac:dyDescent="0.25">
      <c r="A104" s="9" t="s">
        <v>83</v>
      </c>
      <c r="B104" s="8"/>
      <c r="C104" s="4"/>
      <c r="D104" s="15" t="s">
        <v>69</v>
      </c>
      <c r="E104" s="42"/>
      <c r="F104" s="42"/>
      <c r="G104" s="13" t="s">
        <v>54</v>
      </c>
      <c r="H104" s="42"/>
      <c r="I104" s="42" t="s">
        <v>140</v>
      </c>
      <c r="J104" s="13"/>
      <c r="L104" s="2"/>
    </row>
    <row r="105" spans="1:12" ht="31.5" x14ac:dyDescent="0.25">
      <c r="A105" s="9"/>
      <c r="B105" s="8"/>
      <c r="C105" s="4"/>
      <c r="D105" s="15" t="s">
        <v>205</v>
      </c>
      <c r="E105" s="42"/>
      <c r="F105" s="42">
        <f>2+1+1+2+6+7+3+3+4+3</f>
        <v>32</v>
      </c>
      <c r="G105" s="13" t="s">
        <v>31</v>
      </c>
      <c r="H105" s="46">
        <f>(3388.6+1440+1445.2+2679.6+10597.2+12361.6+5298+5345+7124.8+5345)/F105</f>
        <v>1719.53125</v>
      </c>
      <c r="I105" s="55">
        <f t="shared" ref="I105" si="17">F105*H105</f>
        <v>55025</v>
      </c>
      <c r="J105" s="13" t="s">
        <v>116</v>
      </c>
      <c r="L105" s="2"/>
    </row>
    <row r="106" spans="1:12" ht="31.5" x14ac:dyDescent="0.25">
      <c r="A106" s="9"/>
      <c r="B106" s="8"/>
      <c r="C106" s="4"/>
      <c r="D106" s="15" t="s">
        <v>230</v>
      </c>
      <c r="E106" s="42"/>
      <c r="F106" s="42">
        <f>2</f>
        <v>2</v>
      </c>
      <c r="G106" s="13" t="s">
        <v>31</v>
      </c>
      <c r="H106" s="46">
        <f>3049.2/F106</f>
        <v>1524.6</v>
      </c>
      <c r="I106" s="55">
        <f t="shared" ref="I106:I110" si="18">F106*H106</f>
        <v>3049.2</v>
      </c>
      <c r="J106" s="13" t="s">
        <v>118</v>
      </c>
      <c r="L106" s="2"/>
    </row>
    <row r="107" spans="1:12" ht="18.75" x14ac:dyDescent="0.25">
      <c r="A107" s="9"/>
      <c r="B107" s="8"/>
      <c r="C107" s="4"/>
      <c r="D107" s="15" t="s">
        <v>195</v>
      </c>
      <c r="E107" s="42"/>
      <c r="F107" s="42">
        <f>2</f>
        <v>2</v>
      </c>
      <c r="G107" s="13" t="s">
        <v>31</v>
      </c>
      <c r="H107" s="46">
        <f>76073/F107</f>
        <v>38036.5</v>
      </c>
      <c r="I107" s="55">
        <f t="shared" si="18"/>
        <v>76073</v>
      </c>
      <c r="J107" s="13" t="s">
        <v>118</v>
      </c>
      <c r="L107" s="2"/>
    </row>
    <row r="108" spans="1:12" ht="18.75" x14ac:dyDescent="0.25">
      <c r="A108" s="9"/>
      <c r="B108" s="8"/>
      <c r="C108" s="4"/>
      <c r="D108" s="15" t="s">
        <v>228</v>
      </c>
      <c r="E108" s="42"/>
      <c r="F108" s="42">
        <f>2</f>
        <v>2</v>
      </c>
      <c r="G108" s="13" t="s">
        <v>31</v>
      </c>
      <c r="H108" s="46">
        <f>49361.6/F108</f>
        <v>24680.799999999999</v>
      </c>
      <c r="I108" s="55">
        <f t="shared" si="18"/>
        <v>49361.599999999999</v>
      </c>
      <c r="J108" s="13" t="s">
        <v>118</v>
      </c>
      <c r="L108" s="2"/>
    </row>
    <row r="109" spans="1:12" ht="31.5" x14ac:dyDescent="0.25">
      <c r="A109" s="9"/>
      <c r="B109" s="8"/>
      <c r="C109" s="4"/>
      <c r="D109" s="15" t="s">
        <v>229</v>
      </c>
      <c r="E109" s="42"/>
      <c r="F109" s="42">
        <f>4</f>
        <v>4</v>
      </c>
      <c r="G109" s="13" t="s">
        <v>170</v>
      </c>
      <c r="H109" s="46">
        <f>19549.2/F109</f>
        <v>4887.3</v>
      </c>
      <c r="I109" s="55">
        <f t="shared" si="18"/>
        <v>19549.2</v>
      </c>
      <c r="J109" s="13" t="s">
        <v>151</v>
      </c>
      <c r="L109" s="2"/>
    </row>
    <row r="110" spans="1:12" ht="18.75" x14ac:dyDescent="0.25">
      <c r="A110" s="9"/>
      <c r="B110" s="8"/>
      <c r="C110" s="4"/>
      <c r="D110" s="15" t="s">
        <v>233</v>
      </c>
      <c r="E110" s="42" t="s">
        <v>140</v>
      </c>
      <c r="F110" s="42">
        <v>1</v>
      </c>
      <c r="G110" s="13" t="s">
        <v>31</v>
      </c>
      <c r="H110" s="68">
        <f>3224/F110</f>
        <v>3224</v>
      </c>
      <c r="I110" s="55">
        <f t="shared" si="18"/>
        <v>3224</v>
      </c>
      <c r="J110" s="13" t="s">
        <v>122</v>
      </c>
      <c r="L110" s="2"/>
    </row>
    <row r="111" spans="1:12" ht="31.5" x14ac:dyDescent="0.25">
      <c r="A111" s="9" t="s">
        <v>21</v>
      </c>
      <c r="B111" s="8"/>
      <c r="C111" s="4"/>
      <c r="D111" s="15" t="s">
        <v>70</v>
      </c>
      <c r="E111" s="42"/>
      <c r="F111" s="42"/>
      <c r="G111" s="13" t="s">
        <v>145</v>
      </c>
      <c r="H111" s="42"/>
      <c r="I111" s="42"/>
      <c r="J111" s="13"/>
      <c r="L111" s="2"/>
    </row>
    <row r="112" spans="1:12" ht="18.75" x14ac:dyDescent="0.25">
      <c r="A112" s="47"/>
      <c r="B112" s="48"/>
      <c r="C112" s="22"/>
      <c r="D112" s="30"/>
      <c r="E112" s="45"/>
      <c r="F112" s="45"/>
      <c r="G112" s="31"/>
      <c r="H112" s="42"/>
      <c r="I112" s="46">
        <f>SUM(I94:I111)</f>
        <v>577069.7333333334</v>
      </c>
      <c r="J112" s="13"/>
      <c r="L112" s="2"/>
    </row>
    <row r="113" spans="1:12" ht="18.75" x14ac:dyDescent="0.3">
      <c r="A113" s="72" t="s">
        <v>72</v>
      </c>
      <c r="B113" s="73"/>
      <c r="C113" s="73"/>
      <c r="D113" s="73"/>
      <c r="E113" s="73"/>
      <c r="F113" s="73"/>
      <c r="G113" s="74"/>
      <c r="H113" s="13"/>
      <c r="I113" s="5"/>
      <c r="J113" s="13"/>
      <c r="L113" s="2"/>
    </row>
    <row r="114" spans="1:12" ht="37.5" x14ac:dyDescent="0.25">
      <c r="A114" s="9" t="s">
        <v>92</v>
      </c>
      <c r="B114" s="8"/>
      <c r="C114" s="4"/>
      <c r="D114" s="4" t="s">
        <v>129</v>
      </c>
      <c r="E114" s="31"/>
      <c r="F114" s="13">
        <f>4+3+4+3+3+8+4+5+3+2+4+7</f>
        <v>50</v>
      </c>
      <c r="G114" s="13" t="s">
        <v>115</v>
      </c>
      <c r="H114" s="33">
        <f>(2808.4+2106+2808.4+2118.2+2118.2+5651.6+2937.2+3670.2+2202+1486.6+2972.8+5203.6)/F114/3</f>
        <v>240.55466666666669</v>
      </c>
      <c r="I114" s="33">
        <f>F114*H114</f>
        <v>12027.733333333335</v>
      </c>
      <c r="J114" s="13" t="s">
        <v>116</v>
      </c>
      <c r="L114" s="2"/>
    </row>
    <row r="115" spans="1:12" ht="31.5" x14ac:dyDescent="0.25">
      <c r="A115" s="9"/>
      <c r="B115" s="8"/>
      <c r="C115" s="4"/>
      <c r="D115" s="15" t="s">
        <v>146</v>
      </c>
      <c r="E115" s="42"/>
      <c r="F115" s="42">
        <f>4</f>
        <v>4</v>
      </c>
      <c r="G115" s="13" t="s">
        <v>30</v>
      </c>
      <c r="H115" s="42">
        <f>5015.8/F115</f>
        <v>1253.95</v>
      </c>
      <c r="I115" s="55">
        <f>F115*H115</f>
        <v>5015.8</v>
      </c>
      <c r="J115" s="13" t="s">
        <v>121</v>
      </c>
      <c r="L115" s="2"/>
    </row>
    <row r="116" spans="1:12" ht="18.75" x14ac:dyDescent="0.25">
      <c r="A116" s="9" t="s">
        <v>83</v>
      </c>
      <c r="B116" s="8"/>
      <c r="C116" s="4"/>
      <c r="D116" s="15" t="s">
        <v>69</v>
      </c>
      <c r="E116" s="42"/>
      <c r="F116" s="42"/>
      <c r="G116" s="14" t="s">
        <v>54</v>
      </c>
      <c r="H116" s="42"/>
      <c r="I116" s="42" t="s">
        <v>140</v>
      </c>
      <c r="J116" s="13"/>
      <c r="L116" s="2"/>
    </row>
    <row r="117" spans="1:12" ht="18.75" x14ac:dyDescent="0.25">
      <c r="A117" s="9"/>
      <c r="B117" s="8"/>
      <c r="C117" s="4"/>
      <c r="D117" s="15" t="s">
        <v>198</v>
      </c>
      <c r="E117" s="42"/>
      <c r="F117" s="42">
        <f>1</f>
        <v>1</v>
      </c>
      <c r="G117" s="14" t="s">
        <v>31</v>
      </c>
      <c r="H117" s="46">
        <f>1122.8/F117</f>
        <v>1122.8</v>
      </c>
      <c r="I117" s="55">
        <f>F117*H117</f>
        <v>1122.8</v>
      </c>
      <c r="J117" s="13" t="s">
        <v>151</v>
      </c>
      <c r="L117" s="2"/>
    </row>
    <row r="118" spans="1:12" ht="18.75" x14ac:dyDescent="0.25">
      <c r="A118" s="9"/>
      <c r="B118" s="8"/>
      <c r="C118" s="4"/>
      <c r="D118" s="15" t="s">
        <v>214</v>
      </c>
      <c r="E118" s="42"/>
      <c r="F118" s="42">
        <v>1</v>
      </c>
      <c r="G118" s="14" t="s">
        <v>31</v>
      </c>
      <c r="H118" s="46">
        <f>4868.8/F118</f>
        <v>4868.8</v>
      </c>
      <c r="I118" s="55">
        <f>F118*H118</f>
        <v>4868.8</v>
      </c>
      <c r="J118" s="13" t="s">
        <v>151</v>
      </c>
      <c r="L118" s="2"/>
    </row>
    <row r="119" spans="1:12" ht="18.75" x14ac:dyDescent="0.25">
      <c r="A119" s="9"/>
      <c r="B119" s="8"/>
      <c r="C119" s="4"/>
      <c r="D119" s="15" t="s">
        <v>215</v>
      </c>
      <c r="E119" s="42"/>
      <c r="F119" s="42">
        <f>1</f>
        <v>1</v>
      </c>
      <c r="G119" s="13" t="s">
        <v>31</v>
      </c>
      <c r="H119" s="42">
        <f>549.8/F119</f>
        <v>549.79999999999995</v>
      </c>
      <c r="I119" s="55">
        <f t="shared" ref="I119" si="19">F119*H119</f>
        <v>549.79999999999995</v>
      </c>
      <c r="J119" s="13" t="s">
        <v>151</v>
      </c>
      <c r="L119" s="2"/>
    </row>
    <row r="120" spans="1:12" ht="18.75" x14ac:dyDescent="0.25">
      <c r="A120" s="9"/>
      <c r="B120" s="8"/>
      <c r="C120" s="4"/>
      <c r="D120" s="15" t="s">
        <v>216</v>
      </c>
      <c r="E120" s="42"/>
      <c r="F120" s="42">
        <v>1</v>
      </c>
      <c r="G120" s="13" t="s">
        <v>31</v>
      </c>
      <c r="H120" s="42">
        <f>1356.2/F120</f>
        <v>1356.2</v>
      </c>
      <c r="I120" s="55">
        <f>F120*H120</f>
        <v>1356.2</v>
      </c>
      <c r="J120" s="13" t="s">
        <v>151</v>
      </c>
      <c r="L120" s="2"/>
    </row>
    <row r="121" spans="1:12" ht="18.75" x14ac:dyDescent="0.25">
      <c r="A121" s="9"/>
      <c r="B121" s="8"/>
      <c r="C121" s="4"/>
      <c r="D121" s="15" t="s">
        <v>160</v>
      </c>
      <c r="E121" s="42"/>
      <c r="F121" s="42">
        <f>1</f>
        <v>1</v>
      </c>
      <c r="G121" s="13" t="s">
        <v>31</v>
      </c>
      <c r="H121" s="42">
        <f>8375/F121</f>
        <v>8375</v>
      </c>
      <c r="I121" s="42">
        <f>F121*H121</f>
        <v>8375</v>
      </c>
      <c r="J121" s="13" t="s">
        <v>122</v>
      </c>
      <c r="L121" s="2"/>
    </row>
    <row r="122" spans="1:12" ht="31.5" x14ac:dyDescent="0.25">
      <c r="A122" s="9" t="s">
        <v>21</v>
      </c>
      <c r="B122" s="8"/>
      <c r="C122" s="4"/>
      <c r="D122" s="15" t="s">
        <v>70</v>
      </c>
      <c r="E122" s="42" t="s">
        <v>140</v>
      </c>
      <c r="F122" s="42" t="s">
        <v>140</v>
      </c>
      <c r="G122" s="14" t="s">
        <v>54</v>
      </c>
      <c r="H122" s="42"/>
      <c r="I122" s="42" t="s">
        <v>140</v>
      </c>
      <c r="J122" s="13"/>
      <c r="L122" s="2"/>
    </row>
    <row r="123" spans="1:12" ht="18.75" x14ac:dyDescent="0.25">
      <c r="A123" s="47"/>
      <c r="B123" s="48"/>
      <c r="C123" s="22"/>
      <c r="D123" s="30"/>
      <c r="E123" s="45"/>
      <c r="F123" s="45"/>
      <c r="G123" s="12"/>
      <c r="H123" s="42"/>
      <c r="I123" s="46">
        <f>SUM(I114:I122)</f>
        <v>33316.133333333331</v>
      </c>
      <c r="J123" s="13"/>
      <c r="L123" s="2"/>
    </row>
    <row r="124" spans="1:12" ht="18.75" x14ac:dyDescent="0.3">
      <c r="A124" s="72" t="s">
        <v>73</v>
      </c>
      <c r="B124" s="73"/>
      <c r="C124" s="73"/>
      <c r="D124" s="73"/>
      <c r="E124" s="73"/>
      <c r="F124" s="73"/>
      <c r="G124" s="74"/>
      <c r="H124" s="19"/>
      <c r="I124" s="5"/>
      <c r="J124" s="13"/>
      <c r="L124" s="2"/>
    </row>
    <row r="125" spans="1:12" ht="37.5" x14ac:dyDescent="0.25">
      <c r="A125" s="9" t="s">
        <v>98</v>
      </c>
      <c r="B125" s="8"/>
      <c r="C125" s="4"/>
      <c r="D125" s="4" t="s">
        <v>130</v>
      </c>
      <c r="E125" s="31"/>
      <c r="F125" s="13">
        <f>4+3+4+3+3+8+4+5+3+2+4+7</f>
        <v>50</v>
      </c>
      <c r="G125" s="13" t="s">
        <v>115</v>
      </c>
      <c r="H125" s="33">
        <f>(2808.4+2106+2808.4+2118.2+2118.2+5651.6+2937.2+3670.2+2202+1486.6+2972.8+5203.6)/F125/3</f>
        <v>240.55466666666669</v>
      </c>
      <c r="I125" s="33">
        <f>F125*H125</f>
        <v>12027.733333333335</v>
      </c>
      <c r="J125" s="13" t="s">
        <v>116</v>
      </c>
      <c r="L125" s="2"/>
    </row>
    <row r="126" spans="1:12" ht="31.5" x14ac:dyDescent="0.25">
      <c r="A126" s="9"/>
      <c r="B126" s="8"/>
      <c r="C126" s="4"/>
      <c r="D126" s="15" t="s">
        <v>202</v>
      </c>
      <c r="E126" s="42"/>
      <c r="F126" s="42">
        <f>1.5+0.5+1.5</f>
        <v>3.5</v>
      </c>
      <c r="G126" s="13" t="s">
        <v>149</v>
      </c>
      <c r="H126" s="46">
        <f>(1935+642.8+1995.4)/F126</f>
        <v>1306.6285714285716</v>
      </c>
      <c r="I126" s="55">
        <f>F126*H126</f>
        <v>4573.2000000000007</v>
      </c>
      <c r="J126" s="13" t="s">
        <v>118</v>
      </c>
      <c r="L126" s="2"/>
    </row>
    <row r="127" spans="1:12" ht="18.75" x14ac:dyDescent="0.25">
      <c r="A127" s="9"/>
      <c r="B127" s="8"/>
      <c r="C127" s="4"/>
      <c r="D127" s="4" t="s">
        <v>114</v>
      </c>
      <c r="E127" s="42"/>
      <c r="F127" s="42">
        <f>6+3+4</f>
        <v>13</v>
      </c>
      <c r="G127" s="13" t="s">
        <v>30</v>
      </c>
      <c r="H127" s="46">
        <f>(2003.4+1018.6+1433.6)/F127</f>
        <v>342.73846153846159</v>
      </c>
      <c r="I127" s="42">
        <f>F127*H127</f>
        <v>4455.6000000000004</v>
      </c>
      <c r="J127" s="13" t="s">
        <v>116</v>
      </c>
      <c r="L127" s="2"/>
    </row>
    <row r="128" spans="1:12" ht="18.75" x14ac:dyDescent="0.25">
      <c r="A128" s="9"/>
      <c r="B128" s="8"/>
      <c r="C128" s="4"/>
      <c r="D128" s="4" t="s">
        <v>157</v>
      </c>
      <c r="E128" s="42"/>
      <c r="F128" s="42"/>
      <c r="G128" s="13" t="s">
        <v>30</v>
      </c>
      <c r="H128" s="42"/>
      <c r="I128" s="42" t="s">
        <v>140</v>
      </c>
      <c r="J128" s="13"/>
      <c r="L128" s="2"/>
    </row>
    <row r="129" spans="1:12" ht="18.75" x14ac:dyDescent="0.25">
      <c r="A129" s="9"/>
      <c r="B129" s="8"/>
      <c r="C129" s="4"/>
      <c r="D129" s="4" t="s">
        <v>181</v>
      </c>
      <c r="E129" s="42"/>
      <c r="F129" s="42">
        <f>30+14+40+6+50+30+30</f>
        <v>200</v>
      </c>
      <c r="G129" s="13" t="s">
        <v>137</v>
      </c>
      <c r="H129" s="46">
        <f>(1954.8+911.4+2624.2+393.4+3406.4+2068+2068)/F129</f>
        <v>67.131</v>
      </c>
      <c r="I129" s="42">
        <f>F129*H129</f>
        <v>13426.2</v>
      </c>
      <c r="J129" s="13" t="s">
        <v>116</v>
      </c>
      <c r="L129" s="2"/>
    </row>
    <row r="130" spans="1:12" ht="18.75" x14ac:dyDescent="0.25">
      <c r="A130" s="9"/>
      <c r="B130" s="8"/>
      <c r="C130" s="4"/>
      <c r="D130" s="4" t="s">
        <v>180</v>
      </c>
      <c r="E130" s="42"/>
      <c r="F130" s="42"/>
      <c r="G130" s="13" t="s">
        <v>137</v>
      </c>
      <c r="H130" s="42"/>
      <c r="I130" s="42"/>
      <c r="J130" s="13"/>
      <c r="L130" s="2"/>
    </row>
    <row r="131" spans="1:12" ht="18.75" x14ac:dyDescent="0.25">
      <c r="A131" s="9" t="s">
        <v>22</v>
      </c>
      <c r="B131" s="8"/>
      <c r="C131" s="4"/>
      <c r="D131" s="4" t="s">
        <v>76</v>
      </c>
      <c r="E131" s="42"/>
      <c r="F131" s="42"/>
      <c r="G131" s="13" t="s">
        <v>30</v>
      </c>
      <c r="H131" s="42"/>
      <c r="I131" s="42" t="s">
        <v>140</v>
      </c>
      <c r="J131" s="13"/>
      <c r="L131" s="2"/>
    </row>
    <row r="132" spans="1:12" ht="18.75" x14ac:dyDescent="0.25">
      <c r="A132" s="47"/>
      <c r="B132" s="48"/>
      <c r="C132" s="22"/>
      <c r="D132" s="22"/>
      <c r="E132" s="45"/>
      <c r="F132" s="45"/>
      <c r="G132" s="31"/>
      <c r="H132" s="42"/>
      <c r="I132" s="46">
        <f>SUM(I125:I131)</f>
        <v>34482.733333333337</v>
      </c>
      <c r="J132" s="13"/>
      <c r="L132" s="2"/>
    </row>
    <row r="133" spans="1:12" ht="18.75" x14ac:dyDescent="0.3">
      <c r="A133" s="72" t="s">
        <v>78</v>
      </c>
      <c r="B133" s="73"/>
      <c r="C133" s="73"/>
      <c r="D133" s="73"/>
      <c r="E133" s="73"/>
      <c r="F133" s="73"/>
      <c r="G133" s="74"/>
      <c r="H133" s="5"/>
      <c r="I133" s="5"/>
      <c r="J133" s="13"/>
      <c r="L133" s="2"/>
    </row>
    <row r="134" spans="1:12" ht="38.25" customHeight="1" x14ac:dyDescent="0.25">
      <c r="A134" s="9" t="s">
        <v>23</v>
      </c>
      <c r="B134" s="5"/>
      <c r="C134" s="4"/>
      <c r="D134" s="15" t="s">
        <v>143</v>
      </c>
      <c r="E134" s="42" t="s">
        <v>140</v>
      </c>
      <c r="F134" s="42" t="s">
        <v>140</v>
      </c>
      <c r="G134" s="13" t="s">
        <v>54</v>
      </c>
      <c r="H134" s="42"/>
      <c r="I134" s="42" t="s">
        <v>140</v>
      </c>
      <c r="J134" s="13"/>
      <c r="L134" s="2"/>
    </row>
    <row r="135" spans="1:12" ht="18.75" x14ac:dyDescent="0.25">
      <c r="A135" s="9" t="s">
        <v>24</v>
      </c>
      <c r="B135" s="5"/>
      <c r="C135" s="4"/>
      <c r="D135" s="4" t="s">
        <v>77</v>
      </c>
      <c r="E135" s="42" t="s">
        <v>140</v>
      </c>
      <c r="F135" s="42" t="s">
        <v>140</v>
      </c>
      <c r="G135" s="13" t="s">
        <v>54</v>
      </c>
      <c r="H135" s="42"/>
      <c r="I135" s="42" t="s">
        <v>140</v>
      </c>
      <c r="J135" s="13"/>
      <c r="L135" s="2"/>
    </row>
    <row r="136" spans="1:12" ht="31.5" x14ac:dyDescent="0.25">
      <c r="A136" s="9" t="s">
        <v>127</v>
      </c>
      <c r="B136" s="5"/>
      <c r="C136" s="4"/>
      <c r="D136" s="15" t="s">
        <v>152</v>
      </c>
      <c r="E136" s="42" t="s">
        <v>140</v>
      </c>
      <c r="F136" s="42" t="s">
        <v>140</v>
      </c>
      <c r="G136" s="13" t="s">
        <v>54</v>
      </c>
      <c r="H136" s="42"/>
      <c r="I136" s="42" t="s">
        <v>140</v>
      </c>
      <c r="J136" s="13"/>
      <c r="L136" s="2"/>
    </row>
    <row r="137" spans="1:12" ht="18.75" x14ac:dyDescent="0.25">
      <c r="A137" s="9"/>
      <c r="B137" s="5"/>
      <c r="C137" s="4"/>
      <c r="D137" s="15" t="s">
        <v>165</v>
      </c>
      <c r="E137" s="42" t="s">
        <v>140</v>
      </c>
      <c r="F137" s="42" t="s">
        <v>140</v>
      </c>
      <c r="G137" s="13" t="s">
        <v>149</v>
      </c>
      <c r="H137" s="42"/>
      <c r="I137" s="42" t="s">
        <v>140</v>
      </c>
      <c r="J137" s="13"/>
      <c r="L137" s="2"/>
    </row>
    <row r="138" spans="1:12" ht="18.75" x14ac:dyDescent="0.25">
      <c r="A138" s="9"/>
      <c r="B138" s="5"/>
      <c r="C138" s="4"/>
      <c r="D138" s="15" t="s">
        <v>184</v>
      </c>
      <c r="E138" s="42"/>
      <c r="F138" s="42">
        <f>2</f>
        <v>2</v>
      </c>
      <c r="G138" s="13" t="s">
        <v>31</v>
      </c>
      <c r="H138" s="46">
        <f>120.4/F138</f>
        <v>60.2</v>
      </c>
      <c r="I138" s="55">
        <f>F138*H138</f>
        <v>120.4</v>
      </c>
      <c r="J138" s="13" t="s">
        <v>121</v>
      </c>
      <c r="L138" s="2"/>
    </row>
    <row r="139" spans="1:12" ht="31.5" x14ac:dyDescent="0.25">
      <c r="A139" s="9"/>
      <c r="B139" s="5"/>
      <c r="C139" s="4"/>
      <c r="D139" s="15" t="s">
        <v>185</v>
      </c>
      <c r="E139" s="42"/>
      <c r="F139" s="42">
        <f>2</f>
        <v>2</v>
      </c>
      <c r="G139" s="13" t="s">
        <v>31</v>
      </c>
      <c r="H139" s="46">
        <f>2954.4/F139</f>
        <v>1477.2</v>
      </c>
      <c r="I139" s="55">
        <f>F139*H139</f>
        <v>2954.4</v>
      </c>
      <c r="J139" s="13" t="s">
        <v>121</v>
      </c>
      <c r="L139" s="2"/>
    </row>
    <row r="140" spans="1:12" ht="18.75" x14ac:dyDescent="0.25">
      <c r="A140" s="9"/>
      <c r="B140" s="5"/>
      <c r="C140" s="4"/>
      <c r="D140" s="15" t="s">
        <v>166</v>
      </c>
      <c r="E140" s="42"/>
      <c r="F140" s="42"/>
      <c r="G140" s="13" t="s">
        <v>54</v>
      </c>
      <c r="H140" s="42"/>
      <c r="I140" s="42" t="s">
        <v>140</v>
      </c>
      <c r="J140" s="13"/>
      <c r="L140" s="2"/>
    </row>
    <row r="141" spans="1:12" ht="18.75" x14ac:dyDescent="0.25">
      <c r="A141" s="9"/>
      <c r="B141" s="5"/>
      <c r="C141" s="4"/>
      <c r="D141" s="15" t="s">
        <v>106</v>
      </c>
      <c r="E141" s="32"/>
      <c r="F141" s="13">
        <f>4+13+9+6+3+3+7+3+9+14+9</f>
        <v>80</v>
      </c>
      <c r="G141" s="13" t="s">
        <v>54</v>
      </c>
      <c r="H141" s="33">
        <f>(699+2274+1573.8+1052+507.8+516+1201+217.2+1555.4+2417.2+1555.4)/F141</f>
        <v>169.61</v>
      </c>
      <c r="I141" s="13">
        <f t="shared" ref="I141" si="20">F141*H141</f>
        <v>13568.800000000001</v>
      </c>
      <c r="J141" s="13" t="s">
        <v>116</v>
      </c>
      <c r="L141" s="2"/>
    </row>
    <row r="142" spans="1:12" ht="18.75" x14ac:dyDescent="0.25">
      <c r="A142" s="9"/>
      <c r="B142" s="5"/>
      <c r="C142" s="4"/>
      <c r="D142" s="15" t="s">
        <v>142</v>
      </c>
      <c r="E142" s="42"/>
      <c r="F142" s="42"/>
      <c r="G142" s="13" t="s">
        <v>31</v>
      </c>
      <c r="H142" s="42"/>
      <c r="I142" s="42" t="s">
        <v>140</v>
      </c>
      <c r="J142" s="13"/>
      <c r="L142" s="2"/>
    </row>
    <row r="143" spans="1:12" ht="56.25" x14ac:dyDescent="0.25">
      <c r="A143" s="9" t="s">
        <v>107</v>
      </c>
      <c r="B143" s="5"/>
      <c r="C143" s="4"/>
      <c r="D143" s="15" t="s">
        <v>125</v>
      </c>
      <c r="E143" s="32"/>
      <c r="F143" s="13">
        <f>58+58+58+58+58+58+58+58+58+58+58+58</f>
        <v>696</v>
      </c>
      <c r="G143" s="13" t="s">
        <v>108</v>
      </c>
      <c r="H143" s="33">
        <f>(2542.8*3+2558.2+2558.2+2558.2+2657+2657+2657+2691.8+2691.8+2691.8)/F143</f>
        <v>45.04224137931034</v>
      </c>
      <c r="I143" s="13">
        <f>F143*H143</f>
        <v>31349.399999999998</v>
      </c>
      <c r="J143" s="13" t="s">
        <v>116</v>
      </c>
      <c r="L143" s="2"/>
    </row>
    <row r="144" spans="1:12" ht="18.75" x14ac:dyDescent="0.25">
      <c r="A144" s="47"/>
      <c r="B144" s="22"/>
      <c r="C144" s="22"/>
      <c r="D144" s="30"/>
      <c r="E144" s="49"/>
      <c r="F144" s="50"/>
      <c r="G144" s="31"/>
      <c r="H144" s="31"/>
      <c r="I144" s="13">
        <f>SUM(I138:I143)</f>
        <v>47993</v>
      </c>
      <c r="J144" s="13"/>
      <c r="L144" s="2"/>
    </row>
    <row r="145" spans="1:12" ht="18.75" x14ac:dyDescent="0.25">
      <c r="A145" s="79" t="s">
        <v>91</v>
      </c>
      <c r="B145" s="80"/>
      <c r="C145" s="80"/>
      <c r="D145" s="80"/>
      <c r="E145" s="80"/>
      <c r="F145" s="80"/>
      <c r="G145" s="81"/>
      <c r="H145" s="12"/>
      <c r="I145" s="5"/>
      <c r="J145" s="13"/>
      <c r="L145" s="2"/>
    </row>
    <row r="146" spans="1:12" ht="18.75" x14ac:dyDescent="0.25">
      <c r="A146" s="26"/>
      <c r="B146" s="27"/>
      <c r="C146" s="27"/>
      <c r="D146" s="36" t="s">
        <v>117</v>
      </c>
      <c r="E146" s="42" t="s">
        <v>140</v>
      </c>
      <c r="F146" s="42"/>
      <c r="G146" s="38" t="s">
        <v>31</v>
      </c>
      <c r="H146" s="42"/>
      <c r="I146" s="42" t="s">
        <v>140</v>
      </c>
      <c r="J146" s="13"/>
      <c r="L146" s="2"/>
    </row>
    <row r="147" spans="1:12" ht="63" x14ac:dyDescent="0.25">
      <c r="A147" s="9" t="s">
        <v>89</v>
      </c>
      <c r="B147" s="22"/>
      <c r="C147" s="22"/>
      <c r="D147" s="23" t="s">
        <v>119</v>
      </c>
      <c r="E147" s="37">
        <v>1163</v>
      </c>
      <c r="F147" s="13">
        <v>1163</v>
      </c>
      <c r="G147" s="31" t="s">
        <v>90</v>
      </c>
      <c r="H147" s="31">
        <v>4.8</v>
      </c>
      <c r="I147" s="13">
        <f>F147*H147*12</f>
        <v>66988.799999999988</v>
      </c>
      <c r="J147" s="13" t="s">
        <v>116</v>
      </c>
      <c r="L147" s="2"/>
    </row>
    <row r="148" spans="1:12" ht="18.75" x14ac:dyDescent="0.25">
      <c r="A148" s="47"/>
      <c r="B148" s="22"/>
      <c r="C148" s="22"/>
      <c r="D148" s="30"/>
      <c r="E148" s="49"/>
      <c r="F148" s="50"/>
      <c r="G148" s="31"/>
      <c r="H148" s="31"/>
      <c r="I148" s="13">
        <f>SUM(I147)</f>
        <v>66988.799999999988</v>
      </c>
      <c r="J148" s="13"/>
      <c r="L148" s="2"/>
    </row>
    <row r="149" spans="1:12" ht="18.75" x14ac:dyDescent="0.3">
      <c r="A149" s="72" t="s">
        <v>79</v>
      </c>
      <c r="B149" s="73"/>
      <c r="C149" s="73"/>
      <c r="D149" s="73"/>
      <c r="E149" s="73"/>
      <c r="F149" s="73"/>
      <c r="G149" s="74"/>
      <c r="H149" s="19"/>
      <c r="I149" s="5"/>
      <c r="J149" s="13"/>
      <c r="L149" s="2"/>
    </row>
    <row r="150" spans="1:12" ht="46.5" customHeight="1" x14ac:dyDescent="0.3">
      <c r="A150" s="34" t="s">
        <v>132</v>
      </c>
      <c r="B150" s="24"/>
      <c r="C150" s="24"/>
      <c r="D150" s="35" t="s">
        <v>131</v>
      </c>
      <c r="E150" s="13">
        <v>478</v>
      </c>
      <c r="F150" s="13">
        <v>478</v>
      </c>
      <c r="G150" s="13" t="s">
        <v>139</v>
      </c>
      <c r="H150" s="13">
        <v>13</v>
      </c>
      <c r="I150" s="13">
        <f>F150*H150*3</f>
        <v>18642</v>
      </c>
      <c r="J150" s="13" t="s">
        <v>178</v>
      </c>
      <c r="L150" s="2"/>
    </row>
    <row r="151" spans="1:12" ht="18.75" x14ac:dyDescent="0.25">
      <c r="A151" s="9" t="s">
        <v>25</v>
      </c>
      <c r="B151" s="5"/>
      <c r="C151" s="4"/>
      <c r="D151" s="4" t="s">
        <v>75</v>
      </c>
      <c r="E151" s="42" t="s">
        <v>140</v>
      </c>
      <c r="F151" s="42" t="s">
        <v>140</v>
      </c>
      <c r="G151" s="14" t="s">
        <v>54</v>
      </c>
      <c r="H151" s="42" t="s">
        <v>140</v>
      </c>
      <c r="I151" s="42" t="s">
        <v>140</v>
      </c>
      <c r="J151" s="13"/>
      <c r="L151" s="2"/>
    </row>
    <row r="152" spans="1:12" ht="47.25" x14ac:dyDescent="0.25">
      <c r="A152" s="9" t="s">
        <v>26</v>
      </c>
      <c r="B152" s="5"/>
      <c r="C152" s="4"/>
      <c r="D152" s="15" t="s">
        <v>28</v>
      </c>
      <c r="E152" s="42" t="s">
        <v>140</v>
      </c>
      <c r="F152" s="42" t="s">
        <v>140</v>
      </c>
      <c r="G152" s="14" t="s">
        <v>54</v>
      </c>
      <c r="H152" s="42" t="s">
        <v>140</v>
      </c>
      <c r="I152" s="42" t="s">
        <v>140</v>
      </c>
      <c r="J152" s="13"/>
      <c r="L152" s="2"/>
    </row>
    <row r="153" spans="1:12" ht="31.5" x14ac:dyDescent="0.25">
      <c r="A153" s="9" t="s">
        <v>27</v>
      </c>
      <c r="B153" s="5"/>
      <c r="C153" s="4"/>
      <c r="D153" s="15" t="s">
        <v>74</v>
      </c>
      <c r="E153" s="42" t="s">
        <v>140</v>
      </c>
      <c r="F153" s="42" t="s">
        <v>140</v>
      </c>
      <c r="G153" s="14" t="s">
        <v>54</v>
      </c>
      <c r="H153" s="42" t="s">
        <v>140</v>
      </c>
      <c r="I153" s="42" t="s">
        <v>140</v>
      </c>
      <c r="J153" s="13"/>
      <c r="L153" s="2"/>
    </row>
    <row r="154" spans="1:12" ht="18.75" x14ac:dyDescent="0.25">
      <c r="A154" s="47"/>
      <c r="B154" s="22"/>
      <c r="C154" s="22"/>
      <c r="D154" s="30"/>
      <c r="E154" s="45"/>
      <c r="F154" s="45"/>
      <c r="G154" s="12"/>
      <c r="H154" s="51"/>
      <c r="I154" s="51">
        <f>SUM(I150:I153)</f>
        <v>18642</v>
      </c>
      <c r="J154" s="52"/>
      <c r="L154" s="2"/>
    </row>
    <row r="155" spans="1:12" ht="18.75" x14ac:dyDescent="0.3">
      <c r="A155" s="72" t="s">
        <v>84</v>
      </c>
      <c r="B155" s="73"/>
      <c r="C155" s="73"/>
      <c r="D155" s="73"/>
      <c r="E155" s="73"/>
      <c r="F155" s="73"/>
      <c r="G155" s="74"/>
      <c r="H155" s="2"/>
      <c r="I155" s="2"/>
      <c r="J155" s="2"/>
      <c r="K155" s="2"/>
      <c r="L155" s="2"/>
    </row>
    <row r="156" spans="1:12" ht="48" x14ac:dyDescent="0.3">
      <c r="A156" s="6" t="s">
        <v>66</v>
      </c>
      <c r="B156" s="6"/>
      <c r="C156" s="4"/>
      <c r="D156" s="15" t="s">
        <v>85</v>
      </c>
      <c r="E156" s="42" t="s">
        <v>140</v>
      </c>
      <c r="F156" s="42" t="s">
        <v>140</v>
      </c>
      <c r="G156" s="13" t="s">
        <v>113</v>
      </c>
      <c r="H156" s="42" t="s">
        <v>140</v>
      </c>
      <c r="I156" s="42" t="s">
        <v>140</v>
      </c>
      <c r="J156" s="5"/>
      <c r="L156" s="2"/>
    </row>
    <row r="157" spans="1:12" ht="32.25" x14ac:dyDescent="0.3">
      <c r="A157" s="28"/>
      <c r="B157" s="29"/>
      <c r="C157" s="22"/>
      <c r="D157" s="30" t="s">
        <v>109</v>
      </c>
      <c r="E157" s="42" t="s">
        <v>140</v>
      </c>
      <c r="F157" s="42" t="s">
        <v>140</v>
      </c>
      <c r="G157" s="13" t="s">
        <v>110</v>
      </c>
      <c r="H157" s="42" t="s">
        <v>140</v>
      </c>
      <c r="I157" s="42" t="s">
        <v>140</v>
      </c>
      <c r="J157" s="39"/>
      <c r="L157" s="2"/>
    </row>
    <row r="158" spans="1:12" ht="18.75" x14ac:dyDescent="0.3">
      <c r="A158" s="72" t="s">
        <v>99</v>
      </c>
      <c r="B158" s="73"/>
      <c r="C158" s="73"/>
      <c r="D158" s="73"/>
      <c r="E158" s="73"/>
      <c r="F158" s="73"/>
      <c r="G158" s="74"/>
      <c r="H158" s="72"/>
      <c r="I158" s="73"/>
      <c r="J158" s="73"/>
      <c r="L158" s="2"/>
    </row>
    <row r="159" spans="1:12" ht="32.25" x14ac:dyDescent="0.3">
      <c r="A159" s="34" t="s">
        <v>150</v>
      </c>
      <c r="B159" s="24"/>
      <c r="C159" s="24"/>
      <c r="D159" s="41" t="s">
        <v>134</v>
      </c>
      <c r="E159" s="13"/>
      <c r="F159" s="13"/>
      <c r="G159" s="13" t="s">
        <v>135</v>
      </c>
      <c r="H159" s="13"/>
      <c r="I159" s="58"/>
      <c r="J159" s="13"/>
      <c r="L159" s="2"/>
    </row>
    <row r="160" spans="1:12" ht="48" x14ac:dyDescent="0.3">
      <c r="A160" s="24"/>
      <c r="B160" s="24"/>
      <c r="C160" s="24"/>
      <c r="D160" s="41" t="s">
        <v>136</v>
      </c>
      <c r="E160" s="42"/>
      <c r="F160" s="42">
        <f>70</f>
        <v>70</v>
      </c>
      <c r="G160" s="13" t="s">
        <v>137</v>
      </c>
      <c r="H160" s="46">
        <f>49000/F160</f>
        <v>700</v>
      </c>
      <c r="I160" s="59">
        <f>F160*H160</f>
        <v>49000</v>
      </c>
      <c r="J160" s="13" t="s">
        <v>124</v>
      </c>
      <c r="L160" s="2"/>
    </row>
    <row r="161" spans="1:12" ht="32.25" x14ac:dyDescent="0.3">
      <c r="A161" s="24"/>
      <c r="B161" s="24"/>
      <c r="C161" s="24"/>
      <c r="D161" s="41" t="s">
        <v>187</v>
      </c>
      <c r="E161" s="13"/>
      <c r="F161" s="13">
        <f>330+240+240</f>
        <v>810</v>
      </c>
      <c r="G161" s="13" t="s">
        <v>138</v>
      </c>
      <c r="H161" s="33">
        <f>(15124+10999+10999)/F161</f>
        <v>45.829629629629629</v>
      </c>
      <c r="I161" s="58">
        <f t="shared" ref="I161:I162" si="21">F161*H161</f>
        <v>37122</v>
      </c>
      <c r="J161" s="13" t="s">
        <v>124</v>
      </c>
      <c r="L161" s="2"/>
    </row>
    <row r="162" spans="1:12" ht="32.25" x14ac:dyDescent="0.3">
      <c r="A162" s="24"/>
      <c r="B162" s="24"/>
      <c r="C162" s="24"/>
      <c r="D162" s="41" t="s">
        <v>188</v>
      </c>
      <c r="E162" s="13"/>
      <c r="F162" s="13">
        <f>85+210</f>
        <v>295</v>
      </c>
      <c r="G162" s="13" t="s">
        <v>138</v>
      </c>
      <c r="H162" s="33">
        <f>(3896+9624)/F162</f>
        <v>45.83050847457627</v>
      </c>
      <c r="I162" s="58">
        <f t="shared" si="21"/>
        <v>13520</v>
      </c>
      <c r="J162" s="13" t="s">
        <v>124</v>
      </c>
      <c r="L162" s="2"/>
    </row>
    <row r="163" spans="1:12" ht="48" x14ac:dyDescent="0.3">
      <c r="A163" s="24"/>
      <c r="B163" s="24"/>
      <c r="C163" s="24"/>
      <c r="D163" s="41" t="s">
        <v>220</v>
      </c>
      <c r="E163" s="31"/>
      <c r="F163" s="31">
        <f>10</f>
        <v>10</v>
      </c>
      <c r="G163" s="13" t="s">
        <v>113</v>
      </c>
      <c r="H163" s="54">
        <f>6293.6/F163</f>
        <v>629.36</v>
      </c>
      <c r="I163" s="60">
        <f>F163*H163</f>
        <v>6293.6</v>
      </c>
      <c r="J163" s="13" t="s">
        <v>118</v>
      </c>
      <c r="L163" s="2"/>
    </row>
    <row r="164" spans="1:12" ht="32.25" x14ac:dyDescent="0.3">
      <c r="A164" s="24"/>
      <c r="B164" s="24"/>
      <c r="C164" s="24"/>
      <c r="D164" s="41" t="s">
        <v>232</v>
      </c>
      <c r="E164" s="42" t="s">
        <v>140</v>
      </c>
      <c r="F164" s="42">
        <f>6</f>
        <v>6</v>
      </c>
      <c r="G164" s="13" t="s">
        <v>113</v>
      </c>
      <c r="H164" s="42">
        <f>4839/F164</f>
        <v>806.5</v>
      </c>
      <c r="I164" s="55">
        <f>F164*H164</f>
        <v>4839</v>
      </c>
      <c r="J164" s="13" t="s">
        <v>118</v>
      </c>
      <c r="L164" s="2"/>
    </row>
    <row r="165" spans="1:12" ht="18.75" x14ac:dyDescent="0.3">
      <c r="A165" s="34" t="s">
        <v>193</v>
      </c>
      <c r="B165" s="24"/>
      <c r="C165" s="24"/>
      <c r="D165" s="41" t="s">
        <v>194</v>
      </c>
      <c r="E165" s="42"/>
      <c r="F165" s="42"/>
      <c r="G165" s="13" t="s">
        <v>31</v>
      </c>
      <c r="H165" s="42"/>
      <c r="I165" s="55"/>
      <c r="J165" s="13"/>
      <c r="L165" s="2"/>
    </row>
    <row r="166" spans="1:12" ht="18.75" x14ac:dyDescent="0.3">
      <c r="A166" s="34" t="s">
        <v>161</v>
      </c>
      <c r="B166" s="14"/>
      <c r="C166" s="14"/>
      <c r="D166" s="40" t="s">
        <v>210</v>
      </c>
      <c r="E166" s="42" t="s">
        <v>140</v>
      </c>
      <c r="F166" s="42">
        <f>2</f>
        <v>2</v>
      </c>
      <c r="G166" s="14" t="s">
        <v>31</v>
      </c>
      <c r="H166" s="42">
        <f>2340/F166</f>
        <v>1170</v>
      </c>
      <c r="I166" s="55">
        <f>F166*H166</f>
        <v>2340</v>
      </c>
      <c r="J166" s="14" t="s">
        <v>118</v>
      </c>
      <c r="L166" s="2"/>
    </row>
    <row r="167" spans="1:12" ht="18.75" x14ac:dyDescent="0.3">
      <c r="A167" s="34"/>
      <c r="B167" s="14"/>
      <c r="C167" s="14"/>
      <c r="D167" s="44"/>
      <c r="E167" s="14"/>
      <c r="F167" s="14"/>
      <c r="G167" s="38"/>
      <c r="H167" s="14"/>
      <c r="I167" s="61">
        <f>SUM(I159:I166)</f>
        <v>113114.6</v>
      </c>
      <c r="J167" s="14"/>
      <c r="L167" s="2"/>
    </row>
    <row r="168" spans="1:12" ht="15.75" x14ac:dyDescent="0.25">
      <c r="A168" s="63" t="s">
        <v>208</v>
      </c>
      <c r="B168" s="14"/>
      <c r="C168" s="14"/>
      <c r="D168" s="44"/>
      <c r="E168" s="14"/>
      <c r="F168" s="14"/>
      <c r="G168" s="38"/>
      <c r="H168" s="14"/>
      <c r="I168" s="67">
        <f>I22+I27+I29+I30+I40+I41+I42+I43+I44+I45+I46+I47+I48+I50+I51+I59+I69+I70+I71+I72+I73+I74+I75+I76+I77+I78+I79+I81+I82+I83+I84+I85+I86+I87+I88+I89+I96+I97+I98+I99+I100+I101+I105+I106+I107+I108+I109+I110+I115+I117+I118+I119+I120+I126+I138+I139+I159+I160+I161+I162+I163+I164+I165+I166</f>
        <v>1288545.2</v>
      </c>
      <c r="J168" s="14"/>
      <c r="L168" s="65"/>
    </row>
    <row r="169" spans="1:12" ht="15.75" x14ac:dyDescent="0.25">
      <c r="A169" s="53" t="s">
        <v>186</v>
      </c>
      <c r="B169" s="25"/>
      <c r="C169" s="25"/>
      <c r="D169" s="44"/>
      <c r="E169" s="13"/>
      <c r="F169" s="13"/>
      <c r="G169" s="38"/>
      <c r="H169" s="13"/>
      <c r="I169" s="33">
        <f>I37+I56+I92+I112+I123+I132+I144+I148+I154+I167</f>
        <v>2316954.6</v>
      </c>
      <c r="J169" s="14"/>
      <c r="K169" s="2"/>
      <c r="L169" s="2"/>
    </row>
    <row r="170" spans="1:12" ht="99.75" customHeight="1" x14ac:dyDescent="0.25">
      <c r="A170" s="69" t="s">
        <v>105</v>
      </c>
      <c r="B170" s="69"/>
      <c r="C170" s="69"/>
      <c r="D170" s="69"/>
      <c r="E170" s="69"/>
      <c r="F170" s="69"/>
      <c r="G170" s="69"/>
      <c r="H170" s="69"/>
      <c r="I170" s="69"/>
      <c r="J170" s="69"/>
      <c r="K170" s="2"/>
      <c r="L170" s="2"/>
    </row>
    <row r="171" spans="1:12" ht="15.75" x14ac:dyDescent="0.25">
      <c r="A171" s="2"/>
      <c r="B171" s="2"/>
      <c r="C171" s="2"/>
      <c r="D171" s="16"/>
      <c r="E171" s="82"/>
      <c r="F171" s="82"/>
      <c r="G171" s="82"/>
      <c r="H171" s="82"/>
      <c r="I171" s="82"/>
      <c r="J171" s="82"/>
      <c r="K171" s="2"/>
      <c r="L171" s="2"/>
    </row>
    <row r="172" spans="1:12" ht="15.75" x14ac:dyDescent="0.25">
      <c r="A172" s="2"/>
      <c r="B172" s="2"/>
      <c r="C172" s="2"/>
      <c r="D172" s="16"/>
      <c r="E172" s="82"/>
      <c r="F172" s="83"/>
      <c r="G172" s="82"/>
      <c r="H172" s="82"/>
      <c r="I172" s="82"/>
      <c r="J172" s="82"/>
      <c r="K172" s="2"/>
      <c r="L172" s="2"/>
    </row>
    <row r="173" spans="1:12" ht="15.75" x14ac:dyDescent="0.25">
      <c r="A173" s="2"/>
      <c r="B173" s="2"/>
      <c r="C173" s="2"/>
      <c r="D173" s="16"/>
      <c r="E173" s="82"/>
      <c r="F173" s="83"/>
      <c r="G173" s="82"/>
      <c r="H173" s="82"/>
      <c r="I173" s="83"/>
      <c r="J173" s="82"/>
      <c r="K173" s="2"/>
      <c r="L173" s="2"/>
    </row>
    <row r="174" spans="1:12" ht="15.75" x14ac:dyDescent="0.25">
      <c r="A174" s="2"/>
      <c r="B174" s="2"/>
      <c r="C174" s="2"/>
      <c r="D174" s="16"/>
      <c r="E174" s="82"/>
      <c r="F174" s="83"/>
      <c r="G174" s="82"/>
      <c r="H174" s="82"/>
      <c r="I174" s="82"/>
      <c r="J174" s="82"/>
      <c r="K174" s="2"/>
      <c r="L174" s="2"/>
    </row>
    <row r="175" spans="1:12" ht="15.75" x14ac:dyDescent="0.25">
      <c r="A175" s="2"/>
      <c r="B175" s="2"/>
      <c r="C175" s="2"/>
      <c r="D175" s="16"/>
      <c r="E175" s="16"/>
      <c r="F175" s="2"/>
      <c r="G175" s="2"/>
      <c r="H175" s="2"/>
      <c r="I175" s="2"/>
      <c r="J175" s="2"/>
      <c r="K175" s="2"/>
      <c r="L175" s="2"/>
    </row>
    <row r="176" spans="1:12" ht="15.75" x14ac:dyDescent="0.25">
      <c r="A176" s="2"/>
      <c r="B176" s="2"/>
      <c r="C176" s="2"/>
      <c r="D176" s="16"/>
      <c r="E176" s="16"/>
      <c r="F176" s="2"/>
      <c r="G176" s="2"/>
      <c r="H176" s="2"/>
      <c r="I176" s="2"/>
      <c r="J176" s="2"/>
      <c r="K176" s="2"/>
      <c r="L176" s="2"/>
    </row>
    <row r="177" spans="1:12" ht="15.75" x14ac:dyDescent="0.25">
      <c r="A177" s="2"/>
      <c r="B177" s="2"/>
      <c r="C177" s="2"/>
      <c r="D177" s="16"/>
      <c r="E177" s="16"/>
      <c r="F177" s="2"/>
      <c r="G177" s="2"/>
      <c r="H177" s="2"/>
      <c r="I177" s="2"/>
      <c r="J177" s="2"/>
      <c r="K177" s="2"/>
      <c r="L177" s="2"/>
    </row>
    <row r="178" spans="1:12" ht="15.75" x14ac:dyDescent="0.25">
      <c r="A178" s="2"/>
      <c r="B178" s="2"/>
      <c r="C178" s="2"/>
      <c r="D178" s="16"/>
      <c r="E178" s="16"/>
      <c r="F178" s="2"/>
      <c r="G178" s="2"/>
      <c r="H178" s="2"/>
      <c r="I178" s="2"/>
      <c r="J178" s="2"/>
      <c r="K178" s="2"/>
      <c r="L178" s="2"/>
    </row>
    <row r="179" spans="1:12" ht="15.75" x14ac:dyDescent="0.25">
      <c r="A179" s="2"/>
      <c r="B179" s="2"/>
      <c r="C179" s="2"/>
      <c r="D179" s="16"/>
      <c r="E179" s="16"/>
      <c r="F179" s="2"/>
      <c r="G179" s="2"/>
      <c r="H179" s="2"/>
      <c r="I179" s="2"/>
      <c r="J179" s="2"/>
      <c r="K179" s="2"/>
      <c r="L179" s="2"/>
    </row>
    <row r="180" spans="1:12" ht="15.75" x14ac:dyDescent="0.25">
      <c r="A180" s="2"/>
      <c r="B180" s="2"/>
      <c r="C180" s="2"/>
      <c r="D180" s="16"/>
      <c r="E180" s="16"/>
      <c r="F180" s="2"/>
      <c r="G180" s="2"/>
      <c r="H180" s="2"/>
      <c r="I180" s="2"/>
      <c r="J180" s="2"/>
      <c r="K180" s="2"/>
      <c r="L180" s="2"/>
    </row>
    <row r="181" spans="1:12" ht="15.75" x14ac:dyDescent="0.25">
      <c r="A181" s="2"/>
      <c r="B181" s="2"/>
      <c r="C181" s="2"/>
      <c r="D181" s="16"/>
      <c r="E181" s="16"/>
      <c r="F181" s="2"/>
      <c r="G181" s="2"/>
      <c r="H181" s="2"/>
      <c r="I181" s="2"/>
      <c r="J181" s="2"/>
      <c r="K181" s="2"/>
      <c r="L181" s="2"/>
    </row>
    <row r="182" spans="1:12" ht="15.75" x14ac:dyDescent="0.25">
      <c r="A182" s="2"/>
      <c r="B182" s="2"/>
      <c r="C182" s="2"/>
      <c r="D182" s="16"/>
      <c r="E182" s="16"/>
      <c r="F182" s="2"/>
      <c r="G182" s="2"/>
      <c r="H182" s="2"/>
      <c r="I182" s="2"/>
      <c r="J182" s="2"/>
      <c r="K182" s="2"/>
      <c r="L182" s="2"/>
    </row>
    <row r="183" spans="1:12" ht="15.75" x14ac:dyDescent="0.25">
      <c r="A183" s="2"/>
      <c r="B183" s="2"/>
      <c r="C183" s="2"/>
      <c r="D183" s="16"/>
      <c r="E183" s="16"/>
      <c r="F183" s="2"/>
      <c r="G183" s="2"/>
      <c r="H183" s="2"/>
      <c r="I183" s="2"/>
      <c r="J183" s="2"/>
      <c r="K183" s="2"/>
      <c r="L183" s="2"/>
    </row>
    <row r="184" spans="1:12" ht="15.75" x14ac:dyDescent="0.25">
      <c r="A184" s="2"/>
      <c r="B184" s="2"/>
      <c r="C184" s="2"/>
      <c r="D184" s="16"/>
      <c r="E184" s="16"/>
      <c r="F184" s="2"/>
      <c r="G184" s="2"/>
      <c r="H184" s="2"/>
      <c r="I184" s="2"/>
      <c r="J184" s="2"/>
      <c r="K184" s="2"/>
      <c r="L184" s="2"/>
    </row>
    <row r="185" spans="1:12" ht="15.75" x14ac:dyDescent="0.25">
      <c r="A185" s="2"/>
      <c r="B185" s="2"/>
      <c r="C185" s="2"/>
      <c r="D185" s="16"/>
      <c r="E185" s="16"/>
      <c r="F185" s="2"/>
      <c r="G185" s="2"/>
      <c r="H185" s="2"/>
      <c r="I185" s="2"/>
      <c r="J185" s="2"/>
      <c r="K185" s="2"/>
      <c r="L185" s="2"/>
    </row>
    <row r="186" spans="1:12" ht="15.75" x14ac:dyDescent="0.25">
      <c r="A186" s="2"/>
      <c r="B186" s="2"/>
      <c r="C186" s="2"/>
      <c r="D186" s="16"/>
      <c r="E186" s="16"/>
      <c r="F186" s="2"/>
      <c r="G186" s="2"/>
      <c r="H186" s="2"/>
      <c r="I186" s="2"/>
      <c r="J186" s="2"/>
      <c r="K186" s="2"/>
      <c r="L186" s="2"/>
    </row>
    <row r="187" spans="1:12" ht="15.75" x14ac:dyDescent="0.25">
      <c r="A187" s="2"/>
      <c r="B187" s="2"/>
      <c r="C187" s="2"/>
      <c r="D187" s="16"/>
      <c r="E187" s="16"/>
      <c r="F187" s="2"/>
      <c r="G187" s="2"/>
      <c r="H187" s="2"/>
      <c r="I187" s="2"/>
      <c r="J187" s="2"/>
      <c r="K187" s="2"/>
      <c r="L187" s="2"/>
    </row>
    <row r="188" spans="1:12" ht="15.75" x14ac:dyDescent="0.25">
      <c r="A188" s="2"/>
      <c r="B188" s="2"/>
      <c r="C188" s="2"/>
      <c r="D188" s="16"/>
      <c r="E188" s="16"/>
      <c r="F188" s="2"/>
      <c r="G188" s="2"/>
      <c r="H188" s="2"/>
      <c r="I188" s="2"/>
      <c r="J188" s="2"/>
      <c r="K188" s="2"/>
      <c r="L188" s="2"/>
    </row>
    <row r="189" spans="1:12" ht="15.75" x14ac:dyDescent="0.25">
      <c r="A189" s="2"/>
      <c r="B189" s="2"/>
      <c r="C189" s="2"/>
      <c r="D189" s="16"/>
      <c r="E189" s="16"/>
      <c r="F189" s="2"/>
      <c r="G189" s="2"/>
      <c r="H189" s="2"/>
      <c r="I189" s="2"/>
      <c r="J189" s="2"/>
      <c r="K189" s="2"/>
      <c r="L189" s="2"/>
    </row>
    <row r="190" spans="1:12" ht="15.75" x14ac:dyDescent="0.25">
      <c r="A190" s="2"/>
      <c r="B190" s="2"/>
      <c r="C190" s="2"/>
      <c r="D190" s="16"/>
      <c r="E190" s="16"/>
      <c r="F190" s="2"/>
      <c r="G190" s="2"/>
      <c r="H190" s="2"/>
      <c r="I190" s="2"/>
      <c r="J190" s="2"/>
      <c r="K190" s="2"/>
      <c r="L190" s="2"/>
    </row>
    <row r="191" spans="1:12" ht="15.75" x14ac:dyDescent="0.25">
      <c r="A191" s="2"/>
      <c r="B191" s="2"/>
      <c r="C191" s="2"/>
      <c r="D191" s="16"/>
      <c r="E191" s="16"/>
      <c r="F191" s="2"/>
      <c r="G191" s="2"/>
      <c r="H191" s="2"/>
      <c r="I191" s="2"/>
      <c r="J191" s="2"/>
      <c r="K191" s="2"/>
      <c r="L191" s="2"/>
    </row>
    <row r="192" spans="1:12" ht="15.75" x14ac:dyDescent="0.25">
      <c r="A192" s="2"/>
      <c r="B192" s="2"/>
      <c r="C192" s="2"/>
      <c r="D192" s="16"/>
      <c r="E192" s="16"/>
      <c r="F192" s="2"/>
      <c r="G192" s="2"/>
      <c r="H192" s="2"/>
      <c r="I192" s="2"/>
      <c r="J192" s="2"/>
      <c r="K192" s="2"/>
      <c r="L192" s="2"/>
    </row>
    <row r="193" spans="1:12" ht="15.75" x14ac:dyDescent="0.25">
      <c r="A193" s="2"/>
      <c r="B193" s="2"/>
      <c r="C193" s="2"/>
      <c r="D193" s="16"/>
      <c r="E193" s="16"/>
      <c r="F193" s="2"/>
      <c r="G193" s="2"/>
      <c r="H193" s="2"/>
      <c r="I193" s="2"/>
      <c r="J193" s="2"/>
      <c r="K193" s="2"/>
      <c r="L193" s="2"/>
    </row>
    <row r="194" spans="1:12" ht="15.75" x14ac:dyDescent="0.25">
      <c r="A194" s="2"/>
      <c r="B194" s="2"/>
      <c r="C194" s="2"/>
      <c r="D194" s="16"/>
      <c r="E194" s="16"/>
      <c r="F194" s="2"/>
      <c r="G194" s="2"/>
      <c r="H194" s="2"/>
      <c r="I194" s="2"/>
      <c r="J194" s="2"/>
      <c r="K194" s="2"/>
      <c r="L194" s="2"/>
    </row>
    <row r="195" spans="1:12" ht="15.75" x14ac:dyDescent="0.25">
      <c r="A195" s="2"/>
      <c r="B195" s="2"/>
      <c r="C195" s="2"/>
      <c r="D195" s="16"/>
      <c r="E195" s="16"/>
      <c r="F195" s="2"/>
      <c r="G195" s="2"/>
      <c r="H195" s="2"/>
      <c r="I195" s="2"/>
      <c r="J195" s="2"/>
      <c r="K195" s="2"/>
      <c r="L195" s="2"/>
    </row>
    <row r="196" spans="1:12" ht="15.75" x14ac:dyDescent="0.25">
      <c r="A196" s="2"/>
      <c r="B196" s="2"/>
      <c r="C196" s="2"/>
      <c r="D196" s="16"/>
      <c r="E196" s="16"/>
      <c r="F196" s="2"/>
      <c r="G196" s="2"/>
      <c r="H196" s="2"/>
      <c r="I196" s="2"/>
      <c r="J196" s="2"/>
      <c r="K196" s="2"/>
      <c r="L196" s="2"/>
    </row>
  </sheetData>
  <mergeCells count="16">
    <mergeCell ref="A170:J170"/>
    <mergeCell ref="A2:J2"/>
    <mergeCell ref="A158:G158"/>
    <mergeCell ref="H158:J158"/>
    <mergeCell ref="I1:J1"/>
    <mergeCell ref="A113:G113"/>
    <mergeCell ref="A133:G133"/>
    <mergeCell ref="A155:G155"/>
    <mergeCell ref="A38:G38"/>
    <mergeCell ref="A16:G16"/>
    <mergeCell ref="A4:G4"/>
    <mergeCell ref="A145:G145"/>
    <mergeCell ref="A57:G57"/>
    <mergeCell ref="A93:G93"/>
    <mergeCell ref="A124:G124"/>
    <mergeCell ref="A149:G149"/>
  </mergeCells>
  <pageMargins left="0.78740157480314965" right="0.70866141732283472" top="0" bottom="0.59055118110236227" header="0" footer="0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2025-01-30T12:34:15Z</cp:lastPrinted>
  <dcterms:created xsi:type="dcterms:W3CDTF">2017-05-29T12:14:13Z</dcterms:created>
  <dcterms:modified xsi:type="dcterms:W3CDTF">2025-03-14T04:55:16Z</dcterms:modified>
</cp:coreProperties>
</file>