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96" i="1" l="1"/>
  <c r="H96" i="1" s="1"/>
  <c r="F120" i="1"/>
  <c r="F165" i="1"/>
  <c r="H165" i="1" s="1"/>
  <c r="F184" i="1"/>
  <c r="H184" i="1" s="1"/>
  <c r="F114" i="1"/>
  <c r="H114" i="1" s="1"/>
  <c r="F110" i="1"/>
  <c r="H110" i="1" s="1"/>
  <c r="F105" i="1"/>
  <c r="H105" i="1" s="1"/>
  <c r="F149" i="1"/>
  <c r="H149" i="1" s="1"/>
  <c r="F146" i="1"/>
  <c r="H146" i="1" s="1"/>
  <c r="F144" i="1"/>
  <c r="H144" i="1" s="1"/>
  <c r="F126" i="1"/>
  <c r="H126" i="1" s="1"/>
  <c r="F127" i="1"/>
  <c r="H127" i="1" s="1"/>
  <c r="F129" i="1"/>
  <c r="H129" i="1" s="1"/>
  <c r="F84" i="1"/>
  <c r="H84" i="1" s="1"/>
  <c r="H120" i="1" l="1"/>
  <c r="I120" i="1" s="1"/>
  <c r="I96" i="1"/>
  <c r="F48" i="1" l="1"/>
  <c r="H48" i="1" s="1"/>
  <c r="F42" i="1"/>
  <c r="H42" i="1" s="1"/>
  <c r="H44" i="1"/>
  <c r="F18" i="1"/>
  <c r="H18" i="1" s="1"/>
  <c r="F25" i="1"/>
  <c r="H25" i="1" s="1"/>
  <c r="H24" i="1"/>
  <c r="F29" i="1"/>
  <c r="H28" i="1"/>
  <c r="F39" i="1"/>
  <c r="H39" i="1" s="1"/>
  <c r="F46" i="1"/>
  <c r="H46" i="1" s="1"/>
  <c r="F143" i="1"/>
  <c r="H143" i="1" s="1"/>
  <c r="H93" i="1"/>
  <c r="I93" i="1" s="1"/>
  <c r="H92" i="1"/>
  <c r="I92" i="1" s="1"/>
  <c r="H142" i="1"/>
  <c r="F145" i="1"/>
  <c r="H145" i="1" s="1"/>
  <c r="I84" i="1"/>
  <c r="H29" i="1" l="1"/>
  <c r="I29" i="1" s="1"/>
  <c r="I18" i="1"/>
  <c r="F43" i="1"/>
  <c r="H43" i="1" s="1"/>
  <c r="F77" i="1"/>
  <c r="H77" i="1" s="1"/>
  <c r="F47" i="1" l="1"/>
  <c r="H47" i="1" s="1"/>
  <c r="F50" i="1"/>
  <c r="H50" i="1" s="1"/>
  <c r="F188" i="1"/>
  <c r="H188" i="1" s="1"/>
  <c r="F122" i="1"/>
  <c r="H122" i="1" s="1"/>
  <c r="F104" i="1"/>
  <c r="H104" i="1" s="1"/>
  <c r="F103" i="1"/>
  <c r="H103" i="1" s="1"/>
  <c r="F99" i="1"/>
  <c r="H99" i="1" s="1"/>
  <c r="F98" i="1"/>
  <c r="H98" i="1" s="1"/>
  <c r="F100" i="1"/>
  <c r="H100" i="1" s="1"/>
  <c r="F97" i="1"/>
  <c r="H97" i="1" s="1"/>
  <c r="I188" i="1" l="1"/>
  <c r="F182" i="1"/>
  <c r="H182" i="1" s="1"/>
  <c r="F181" i="1"/>
  <c r="H181" i="1" s="1"/>
  <c r="F179" i="1"/>
  <c r="H178" i="1"/>
  <c r="I178" i="1" s="1"/>
  <c r="H179" i="1" l="1"/>
  <c r="I179" i="1" s="1"/>
  <c r="I182" i="1"/>
  <c r="I181" i="1"/>
  <c r="F173" i="1"/>
  <c r="H173" i="1" s="1"/>
  <c r="F61" i="1"/>
  <c r="H61" i="1" s="1"/>
  <c r="F53" i="1"/>
  <c r="H53" i="1" s="1"/>
  <c r="F58" i="1"/>
  <c r="H58" i="1" s="1"/>
  <c r="H176" i="1"/>
  <c r="H175" i="1"/>
  <c r="F172" i="1"/>
  <c r="H172" i="1" s="1"/>
  <c r="F111" i="1"/>
  <c r="H111" i="1" s="1"/>
  <c r="F107" i="1"/>
  <c r="H107" i="1" s="1"/>
  <c r="F106" i="1"/>
  <c r="H106" i="1" s="1"/>
  <c r="H109" i="1"/>
  <c r="H108" i="1"/>
  <c r="I109" i="1"/>
  <c r="F83" i="1"/>
  <c r="H83" i="1" s="1"/>
  <c r="F87" i="1"/>
  <c r="H87" i="1" s="1"/>
  <c r="F101" i="1"/>
  <c r="H101" i="1" s="1"/>
  <c r="H116" i="1"/>
  <c r="F81" i="1"/>
  <c r="H81" i="1" s="1"/>
  <c r="F82" i="1"/>
  <c r="H82" i="1" s="1"/>
  <c r="I108" i="1" l="1"/>
  <c r="F171" i="1"/>
  <c r="H171" i="1" s="1"/>
  <c r="F167" i="1"/>
  <c r="H167" i="1" s="1"/>
  <c r="F169" i="1"/>
  <c r="H169" i="1" s="1"/>
  <c r="F168" i="1"/>
  <c r="H168" i="1" s="1"/>
  <c r="H187" i="1"/>
  <c r="H170" i="1"/>
  <c r="F162" i="1"/>
  <c r="H162" i="1" s="1"/>
  <c r="F180" i="1"/>
  <c r="H180" i="1" s="1"/>
  <c r="F45" i="1"/>
  <c r="H45" i="1" s="1"/>
  <c r="F177" i="1"/>
  <c r="H177" i="1" s="1"/>
  <c r="H89" i="1"/>
  <c r="H88" i="1"/>
  <c r="F86" i="1"/>
  <c r="H86" i="1" s="1"/>
  <c r="F85" i="1"/>
  <c r="H85" i="1" s="1"/>
  <c r="I162" i="1" l="1"/>
  <c r="I101" i="1"/>
  <c r="I168" i="1"/>
  <c r="H166" i="1"/>
  <c r="H141" i="1"/>
  <c r="H140" i="1"/>
  <c r="F139" i="1"/>
  <c r="H139" i="1" s="1"/>
  <c r="F54" i="1"/>
  <c r="H54" i="1" s="1"/>
  <c r="F52" i="1"/>
  <c r="H52" i="1" s="1"/>
  <c r="H51" i="1"/>
  <c r="F38" i="1"/>
  <c r="H38" i="1" s="1"/>
  <c r="F40" i="1"/>
  <c r="H40" i="1" s="1"/>
  <c r="F41" i="1"/>
  <c r="H41" i="1" s="1"/>
  <c r="F49" i="1"/>
  <c r="H49" i="1" s="1"/>
  <c r="F60" i="1"/>
  <c r="H60" i="1" s="1"/>
  <c r="F68" i="1"/>
  <c r="H68" i="1" s="1"/>
  <c r="F67" i="1"/>
  <c r="H67" i="1" s="1"/>
  <c r="F66" i="1"/>
  <c r="H66" i="1" s="1"/>
  <c r="I66" i="1" s="1"/>
  <c r="F65" i="1"/>
  <c r="H65" i="1" s="1"/>
  <c r="F64" i="1"/>
  <c r="H64" i="1" s="1"/>
  <c r="I64" i="1" s="1"/>
  <c r="F63" i="1"/>
  <c r="H63" i="1" s="1"/>
  <c r="F59" i="1"/>
  <c r="F57" i="1"/>
  <c r="H57" i="1" s="1"/>
  <c r="F72" i="1"/>
  <c r="H72" i="1" s="1"/>
  <c r="F71" i="1"/>
  <c r="H71" i="1" s="1"/>
  <c r="H186" i="1"/>
  <c r="H185" i="1"/>
  <c r="I127" i="1"/>
  <c r="H183" i="1"/>
  <c r="F115" i="1"/>
  <c r="H115" i="1" s="1"/>
  <c r="F164" i="1"/>
  <c r="H164" i="1" s="1"/>
  <c r="I72" i="1" l="1"/>
  <c r="I57" i="1"/>
  <c r="H59" i="1"/>
  <c r="I59" i="1" s="1"/>
  <c r="I71" i="1"/>
  <c r="I63" i="1"/>
  <c r="I65" i="1"/>
  <c r="I67" i="1"/>
  <c r="I54" i="1"/>
  <c r="I60" i="1"/>
  <c r="I68" i="1"/>
  <c r="I58" i="1"/>
  <c r="I128" i="1"/>
  <c r="I47" i="1"/>
  <c r="I41" i="1"/>
  <c r="I46" i="1" l="1"/>
  <c r="I50" i="1"/>
  <c r="I115" i="1"/>
  <c r="I48" i="1"/>
  <c r="I52" i="1"/>
  <c r="I61" i="1"/>
  <c r="I187" i="1"/>
  <c r="I49" i="1"/>
  <c r="I51" i="1"/>
  <c r="I53" i="1"/>
  <c r="I25" i="1"/>
  <c r="I14" i="1" l="1"/>
  <c r="I167" i="1"/>
  <c r="I24" i="1"/>
  <c r="I42" i="1"/>
  <c r="I107" i="1"/>
  <c r="I186" i="1"/>
  <c r="I185" i="1"/>
  <c r="I176" i="1"/>
  <c r="I183" i="1" l="1"/>
  <c r="I177" i="1"/>
  <c r="I173" i="1"/>
  <c r="I175" i="1"/>
  <c r="F174" i="1"/>
  <c r="H174" i="1" s="1"/>
  <c r="I174" i="1" l="1"/>
  <c r="I122" i="1"/>
  <c r="I111" i="1"/>
  <c r="I172" i="1"/>
  <c r="F80" i="1"/>
  <c r="H80" i="1" s="1"/>
  <c r="F79" i="1"/>
  <c r="H79" i="1" s="1"/>
  <c r="I85" i="1" l="1"/>
  <c r="I171" i="1"/>
  <c r="I86" i="1"/>
  <c r="I28" i="1"/>
  <c r="I36" i="1" l="1"/>
  <c r="I166" i="1"/>
  <c r="I44" i="1" l="1"/>
  <c r="I184" i="1"/>
  <c r="I140" i="1"/>
  <c r="I104" i="1"/>
  <c r="I110" i="1"/>
  <c r="F89" i="1"/>
  <c r="F88" i="1"/>
  <c r="I116" i="1"/>
  <c r="F78" i="1"/>
  <c r="H78" i="1" s="1"/>
  <c r="I169" i="1" l="1"/>
  <c r="I142" i="1"/>
  <c r="I100" i="1"/>
  <c r="I141" i="1"/>
  <c r="I105" i="1"/>
  <c r="I103" i="1"/>
  <c r="I130" i="1"/>
  <c r="I114" i="1"/>
  <c r="I165" i="1"/>
  <c r="I164" i="1" l="1"/>
  <c r="I113" i="1" l="1"/>
  <c r="I124" i="1"/>
  <c r="I45" i="1"/>
  <c r="I170" i="1"/>
  <c r="I139" i="1"/>
  <c r="I143" i="1"/>
  <c r="I89" i="1"/>
  <c r="I88" i="1"/>
  <c r="I99" i="1"/>
  <c r="I98" i="1"/>
  <c r="I97" i="1"/>
  <c r="I83" i="1"/>
  <c r="I40" i="1"/>
  <c r="I129" i="1"/>
  <c r="I126" i="1" l="1"/>
  <c r="I133" i="1" s="1"/>
  <c r="I77" i="1"/>
  <c r="I82" i="1"/>
  <c r="I43" i="1" l="1"/>
  <c r="I39" i="1"/>
  <c r="I38" i="1"/>
  <c r="I106" i="1"/>
  <c r="I87" i="1"/>
  <c r="I149" i="1"/>
  <c r="I78" i="1"/>
  <c r="I81" i="1"/>
  <c r="I118" i="1" l="1"/>
  <c r="I75" i="1"/>
  <c r="I80" i="1"/>
  <c r="I79" i="1"/>
  <c r="I146" i="1"/>
  <c r="I145" i="1"/>
  <c r="I144" i="1"/>
  <c r="I147" i="1" l="1"/>
  <c r="I94" i="1"/>
  <c r="I153" i="1"/>
  <c r="I157" i="1" s="1"/>
  <c r="I150" i="1"/>
  <c r="I151" i="1" s="1"/>
  <c r="I180" i="1"/>
  <c r="I189" i="1" l="1"/>
  <c r="I191" i="1" s="1"/>
  <c r="I190" i="1"/>
</calcChain>
</file>

<file path=xl/sharedStrings.xml><?xml version="1.0" encoding="utf-8"?>
<sst xmlns="http://schemas.openxmlformats.org/spreadsheetml/2006/main" count="633" uniqueCount="266">
  <si>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</si>
  <si>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</si>
  <si>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</si>
  <si>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</si>
  <si>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</si>
  <si>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</si>
  <si>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</si>
  <si>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</si>
  <si>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</si>
  <si>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</si>
  <si>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</si>
  <si>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</si>
  <si>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</si>
  <si>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</si>
  <si>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</si>
  <si>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</si>
  <si>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</si>
  <si>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</si>
  <si>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</si>
  <si>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</si>
  <si>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</si>
  <si>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</si>
  <si>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</si>
  <si>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</si>
  <si>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</si>
  <si>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</si>
  <si>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</si>
  <si>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</si>
  <si>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</si>
  <si>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</si>
  <si>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</si>
  <si>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</si>
  <si>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</si>
  <si>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</si>
  <si>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</si>
  <si>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</si>
  <si>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</si>
  <si>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</si>
  <si>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</si>
  <si>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</si>
  <si>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</si>
  <si>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</si>
  <si>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</si>
  <si>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</si>
  <si>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</si>
  <si>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</si>
  <si>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</si>
  <si>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</si>
  <si>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</si>
  <si>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</si>
  <si>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</si>
  <si>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</si>
  <si>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</si>
  <si>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</si>
  <si>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</si>
  <si>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</si>
  <si>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</si>
  <si>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</si>
  <si>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</si>
  <si>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</si>
  <si>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</si>
  <si>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</si>
  <si>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</si>
  <si>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</si>
  <si>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</si>
  <si>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</si>
  <si>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</si>
  <si>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</si>
  <si>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</si>
  <si>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</si>
  <si>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</si>
  <si>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</si>
  <si>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</si>
  <si>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</si>
  <si>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</si>
  <si>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</si>
  <si>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</si>
  <si>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</si>
  <si>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</si>
  <si>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</si>
  <si>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</si>
  <si>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</si>
  <si>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</si>
  <si>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</si>
  <si>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</si>
  <si>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</si>
  <si>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</si>
  <si>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</si>
  <si>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</si>
  <si>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</si>
  <si>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</si>
  <si>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</si>
  <si>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</si>
  <si>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</si>
  <si>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</si>
  <si>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</si>
  <si>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</si>
  <si>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</si>
  <si>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</si>
  <si>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</si>
  <si>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</si>
  <si>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</si>
  <si>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</si>
  <si>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</si>
  <si>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</si>
  <si>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</si>
  <si>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</si>
  <si>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</si>
  <si>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</si>
  <si>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</si>
  <si>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</si>
  <si>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</si>
  <si>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</si>
  <si>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</si>
  <si>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</si>
  <si>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</si>
  <si>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</si>
  <si>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</si>
  <si>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</si>
  <si>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</si>
  <si>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</si>
  <si>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</si>
  <si>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2 квартал</t>
  </si>
  <si>
    <t>ремонт и восстановление герметизации горизонтальных и вертикальных стыков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</si>
  <si>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</si>
  <si>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</si>
  <si>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</si>
  <si>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</si>
  <si>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</si>
  <si>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</si>
  <si>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</si>
  <si>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</si>
  <si>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</si>
  <si>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</si>
  <si>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соед.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</si>
  <si>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</si>
  <si>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</si>
  <si>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</si>
  <si>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</si>
  <si>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</si>
  <si>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</si>
  <si>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</si>
  <si>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</si>
  <si>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фильтр</t>
  </si>
  <si>
    <t>гидропневматическая,гидрохимическая промывка теплообменников</t>
  </si>
  <si>
    <t>услуга</t>
  </si>
  <si>
    <t>установка решеток на приямки</t>
  </si>
  <si>
    <t>кг</t>
  </si>
  <si>
    <t>м2 окрашиваемой поверхности</t>
  </si>
  <si>
    <t>провод групповой осветительных сетей в защитной оболочке</t>
  </si>
  <si>
    <t>м</t>
  </si>
  <si>
    <t>благоустройство</t>
  </si>
  <si>
    <t>установка хомутов</t>
  </si>
  <si>
    <t>3,4 квартал</t>
  </si>
  <si>
    <t>водоотлив из подвала электрическим насосом</t>
  </si>
  <si>
    <t>водоотлив из подвала ведрами</t>
  </si>
  <si>
    <t>смена дверных приборов:ручки скобы</t>
  </si>
  <si>
    <t>смена дверных приборов:пружины</t>
  </si>
  <si>
    <t>смена дверных приборов:петли</t>
  </si>
  <si>
    <t>установка насосов погружных</t>
  </si>
  <si>
    <t>разборка трубопроводов из водогазопроводных труб диам.до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</si>
  <si>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 40мм</t>
  </si>
  <si>
    <t>врезка в действующие внутренние сети трубопроводов отопления и водоснабжения диам. 25мм</t>
  </si>
  <si>
    <t>окраска масляными составами ранее окрашенных больших металлических поверхностей(кроме крыш) за 1 раз</t>
  </si>
  <si>
    <t>окраска масляными составами ранее окрашенных поверхностей труб стальных за 1 раз</t>
  </si>
  <si>
    <t>2,3,4 квартал</t>
  </si>
  <si>
    <t>3,4квартал</t>
  </si>
  <si>
    <t>1,4 квартал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</si>
  <si>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</si>
  <si>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</si>
  <si>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1 квартал</t>
  </si>
  <si>
    <t>усиление сварных швов наплавкой</t>
  </si>
  <si>
    <t>очистка канализационной сети дворовой</t>
  </si>
  <si>
    <t>Работы по демонтажу, монтажу промывке, прочистке ПРЭМ диам. 65мм-2 шт</t>
  </si>
  <si>
    <t>разборка трубопроводов из водогазопроводных труб диам.до 63мм</t>
  </si>
  <si>
    <t>услуги</t>
  </si>
  <si>
    <t>прокладка внутренних трубопроводов водоснабжения и отопления из полипропиленовых труб:диам. 50мм</t>
  </si>
  <si>
    <t>м.п.</t>
  </si>
  <si>
    <t>1,2,3,4 квартал</t>
  </si>
  <si>
    <t>очистка внутренней поверхности: теплообменного аппарата</t>
  </si>
  <si>
    <t>1,2 квартал</t>
  </si>
  <si>
    <t>подготовка почвы для устройства партерного и обыкновенного газона с внесением растительной земли вручную</t>
  </si>
  <si>
    <t>посадка цветов в клумбы</t>
  </si>
  <si>
    <t>смена кранов шаровых диам. 15,20,25мм</t>
  </si>
  <si>
    <t>полив зеленых насаждений из шланга поливочного водопровода</t>
  </si>
  <si>
    <t>прополка газонов</t>
  </si>
  <si>
    <t>смена внутренних трубопроводов из стальных труб диам. 50мм</t>
  </si>
  <si>
    <t xml:space="preserve">техническое обслуживание системы пожарной сигнализации </t>
  </si>
  <si>
    <t>смена дверных приборов:замки врезные</t>
  </si>
  <si>
    <t>наличие и герметичность приборов отопления:проверка на прогрев приборов с регулировкой</t>
  </si>
  <si>
    <t>прокладка внутренних трубопроводов водоснабжения и отопления из полипропиленовых труб:диам. 40мм</t>
  </si>
  <si>
    <t>заделка трещин в асфальтобетонных покрытиях вручную битумом</t>
  </si>
  <si>
    <t>устройство бетонных плитных крылец с заполнением швов цементным раствором</t>
  </si>
  <si>
    <t>ремонт и восстановление уплотнения стыков прокладками ПРП в 1 ряд  насухо</t>
  </si>
  <si>
    <t>смена стекол в дверях при площади стекол до 0,5м2</t>
  </si>
  <si>
    <t>ремонт дверных полотен со сменой брусков обвязки вертикальных на 2 сопряжения нижних</t>
  </si>
  <si>
    <t>ремонт групповых щитков на лестничной клетке со сменой автоматов</t>
  </si>
  <si>
    <t>смена дверных приборов шпингалеты</t>
  </si>
  <si>
    <t>смена филенок в дверных полотнах</t>
  </si>
  <si>
    <t>смена регуляторов давления диам.32мм</t>
  </si>
  <si>
    <t>изготовление копии технического паспорта</t>
  </si>
  <si>
    <t>оказание услуги строительного контроля</t>
  </si>
  <si>
    <t>очистка вручную поверхности потолков от перхлорвиниловых и масляных красок с земли и лесов</t>
  </si>
  <si>
    <t>окраска водно-дисперсионными акриловыми составами улучшенная по штукатурке потолков</t>
  </si>
  <si>
    <t>очистка вручную поверхности стен от перхлорвиниловых и масляных красок с земли и лесов</t>
  </si>
  <si>
    <t>окраска водно-дисперсионными акриловыми составами улучшенная по штукатурке стен</t>
  </si>
  <si>
    <t>улучшенная масляная окраска ранее окрашенных стен за два раза с расчисткой старой краски до 10%(сапожок</t>
  </si>
  <si>
    <t>м реш</t>
  </si>
  <si>
    <t>ремонт металлических лестничных решеток</t>
  </si>
  <si>
    <t>укрепление стоек металлических решеток ограждений</t>
  </si>
  <si>
    <t>стойки</t>
  </si>
  <si>
    <t>Улучшенная масляная окраска ранее окрашенных дверей за два раза с расчисткой старой краски до 10%</t>
  </si>
  <si>
    <t>окраска масляными составами ранее окрашенных металлических решеток и оград без рельефа за 2 раза</t>
  </si>
  <si>
    <t>простая масляная окраска ранее окрашенных стен с подготовкой и расчисткой старой краски до 10%(торцов лестничных маршей</t>
  </si>
  <si>
    <t>окраска масляными составами ранее окрашенных поверхностей труб стальных за 2 раза</t>
  </si>
  <si>
    <t xml:space="preserve">окраска масляными составами ранее окрашенных поверхностей радиаторов  и ребристых труб отопления за 2 раза </t>
  </si>
  <si>
    <t>окраска масляными составами ранее окрашенных больших металлических поверхностей (кроме крыш) за два раза (щитки,портал лифта)</t>
  </si>
  <si>
    <t>установка дверного доводчика</t>
  </si>
  <si>
    <t>снятие дверных приборов:врезных</t>
  </si>
  <si>
    <t>установка в готовые гнезда врезных дверных замков с ручками</t>
  </si>
  <si>
    <t>демонтаж светильников</t>
  </si>
  <si>
    <t>монтаж светильников</t>
  </si>
  <si>
    <t>короба пластмассовые шириной до 63мм</t>
  </si>
  <si>
    <t>погрузка при автомобильных перевозках мусора строительного с погрузкой вручную,вывоз мусора контейнером с утилизацией</t>
  </si>
  <si>
    <t>т</t>
  </si>
  <si>
    <t>рытье ям</t>
  </si>
  <si>
    <t>Установка урны с бетонированием</t>
  </si>
  <si>
    <t>оказание экспертно-консультационной услуги по проверке правильности составления сметной документации</t>
  </si>
  <si>
    <t>прочистка фильтра диам. 150мм</t>
  </si>
  <si>
    <t>демонтаж клапана диам 50мм</t>
  </si>
  <si>
    <t>монтаж клапана диам 50мм</t>
  </si>
  <si>
    <t>окраска масляными составами ранее окрашенных металлических поверхностей решеток и оград без рельефа за 1 раз</t>
  </si>
  <si>
    <t xml:space="preserve">простая масляная окраска ранее окрашенных лавочек </t>
  </si>
  <si>
    <t>изготовление дубликатов паспортов на лифты</t>
  </si>
  <si>
    <t>демонтаж грязевиков</t>
  </si>
  <si>
    <t>смена внутренних трубопроводов из стальных труб диам.80мм</t>
  </si>
  <si>
    <t>смена вентилей диам. 20,25мм</t>
  </si>
  <si>
    <t>подготовка посадочных мест для кустарников</t>
  </si>
  <si>
    <t>ям</t>
  </si>
  <si>
    <t>посадка кустарников</t>
  </si>
  <si>
    <t>покрытие поверхностей грунтовкой глубокого проникновения за 1 раз стен</t>
  </si>
  <si>
    <t xml:space="preserve">заделка швов цементным раствором </t>
  </si>
  <si>
    <t>м,п,</t>
  </si>
  <si>
    <t>устройство альпинариев и рокариев</t>
  </si>
  <si>
    <t>механическая защита,устрйство устилочной защита(щепа древесная)</t>
  </si>
  <si>
    <t>монтаж ограждающих конструкций стен из профилированного листа</t>
  </si>
  <si>
    <t>окраска масляными составами ранее окрашенных больших металлических поверхностей(кроме крыш) за 2 раза</t>
  </si>
  <si>
    <t>Текущий ремонт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</si>
  <si>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 20мм</t>
  </si>
  <si>
    <t>прокладка внутренних трубпроводов водоснабжения и отопления из полипропиленовых труб:диам. 20мм</t>
  </si>
  <si>
    <t>смена кранов шаровых диам.20, 25,32 мм</t>
  </si>
  <si>
    <t>лифты</t>
  </si>
  <si>
    <t>замена редуктора ДК 0621.03.11,010 ЛМ</t>
  </si>
  <si>
    <t>смена цилиндра во врезном замке</t>
  </si>
  <si>
    <t>слив и наполнение водой системы отопления без осмотра системы</t>
  </si>
  <si>
    <t>м3 объема здания</t>
  </si>
  <si>
    <t>смена розеток</t>
  </si>
  <si>
    <t>демонтаж преобразователей</t>
  </si>
  <si>
    <t>монтаж преобразователей</t>
  </si>
  <si>
    <t>ремонт и восстановление герметизации горизонтальных и вертикальных стыков стеновых панелей мастиков или монтажной пеной</t>
  </si>
  <si>
    <t>кладка отдельных участков из кирпича наружных стен простых стен</t>
  </si>
  <si>
    <t>ремонт ступеней бетонных с обрамлением угловой сталью</t>
  </si>
  <si>
    <t>ремонт дверного доводчика</t>
  </si>
  <si>
    <t>улучшенная масляная окраска ранее окрашенных дверей за два раза с расчисткой старой краски до 35%</t>
  </si>
  <si>
    <t>3 вартал</t>
  </si>
  <si>
    <t xml:space="preserve">
Отчет о выполнении работ по текущему ремонту общего имущества 
в многоквартирном доме по адресу: г.Щёлково, ул.Шмидта, дом 1    на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</si>
</sst>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2" fontId="1" fillId="0" borderId="7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9" fillId="0" borderId="7" xfId="0" applyFont="1" applyBorder="1"/>
    <xf numFmtId="0" fontId="1" fillId="3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5" fontId="1" fillId="0" borderId="0" xfId="0" applyNumberFormat="1" applyFont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abSelected="1" topLeftCell="D191" zoomScale="91" zoomScaleNormal="91" workbookViewId="0">
      <selection activeCell="F194" sqref="F194:L19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8.85546875" style="1"/>
    <col min="12" max="12" width="13.42578125" style="1" customWidth="1"/>
    <col min="13" max="16384" width="8.85546875" style="1"/>
  </cols>
  <sheetData>
    <row r="1" spans="1:12" ht="51.75" customHeight="1" x14ac:dyDescent="0.25">
      <c r="I1" s="89" t="s">
        <v>98</v>
      </c>
      <c r="J1" s="89"/>
    </row>
    <row r="2" spans="1:12" ht="70.5" customHeight="1" x14ac:dyDescent="0.25">
      <c r="A2" s="84" t="s">
        <v>265</v>
      </c>
      <c r="B2" s="85"/>
      <c r="C2" s="85"/>
      <c r="D2" s="85"/>
      <c r="E2" s="85"/>
      <c r="F2" s="85"/>
      <c r="G2" s="85"/>
      <c r="H2" s="85"/>
      <c r="I2" s="85"/>
      <c r="J2" s="85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90" t="s">
        <v>89</v>
      </c>
      <c r="B4" s="91"/>
      <c r="C4" s="91"/>
      <c r="D4" s="91"/>
      <c r="E4" s="91"/>
      <c r="F4" s="91"/>
      <c r="G4" s="92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123</v>
      </c>
      <c r="E5" s="41" t="s">
        <v>139</v>
      </c>
      <c r="F5" s="41" t="s">
        <v>139</v>
      </c>
      <c r="G5" s="13" t="s">
        <v>115</v>
      </c>
      <c r="H5" s="41" t="s">
        <v>139</v>
      </c>
      <c r="I5" s="41" t="s">
        <v>139</v>
      </c>
      <c r="J5" s="13"/>
      <c r="K5" s="2"/>
      <c r="L5" s="2"/>
    </row>
    <row r="6" spans="1:12" ht="35.25" customHeight="1" x14ac:dyDescent="0.3">
      <c r="A6" s="6" t="s">
        <v>1</v>
      </c>
      <c r="B6" s="5"/>
      <c r="C6" s="4"/>
      <c r="D6" s="15" t="s">
        <v>39</v>
      </c>
      <c r="E6" s="41" t="s">
        <v>139</v>
      </c>
      <c r="F6" s="41" t="s">
        <v>139</v>
      </c>
      <c r="G6" s="13" t="s">
        <v>30</v>
      </c>
      <c r="H6" s="41"/>
      <c r="I6" s="41" t="s">
        <v>139</v>
      </c>
      <c r="J6" s="5"/>
      <c r="K6" s="2"/>
      <c r="L6" s="2"/>
    </row>
    <row r="7" spans="1:12" ht="28.5" customHeight="1" x14ac:dyDescent="0.3">
      <c r="A7" s="6" t="s">
        <v>2</v>
      </c>
      <c r="B7" s="5"/>
      <c r="C7" s="4"/>
      <c r="D7" s="15" t="s">
        <v>39</v>
      </c>
      <c r="E7" s="41" t="s">
        <v>139</v>
      </c>
      <c r="F7" s="41" t="s">
        <v>139</v>
      </c>
      <c r="G7" s="13" t="s">
        <v>30</v>
      </c>
      <c r="H7" s="41"/>
      <c r="I7" s="41" t="s">
        <v>139</v>
      </c>
      <c r="J7" s="5"/>
      <c r="K7" s="2"/>
      <c r="L7" s="2"/>
    </row>
    <row r="8" spans="1:12" ht="18.75" x14ac:dyDescent="0.3">
      <c r="A8" s="7" t="s">
        <v>3</v>
      </c>
      <c r="B8" s="5"/>
      <c r="C8" s="4"/>
      <c r="D8" s="15" t="s">
        <v>38</v>
      </c>
      <c r="E8" s="41" t="s">
        <v>139</v>
      </c>
      <c r="F8" s="41" t="s">
        <v>139</v>
      </c>
      <c r="G8" s="13" t="s">
        <v>30</v>
      </c>
      <c r="H8" s="41"/>
      <c r="I8" s="41" t="s">
        <v>139</v>
      </c>
      <c r="J8" s="5"/>
      <c r="K8" s="2"/>
      <c r="L8" s="2"/>
    </row>
    <row r="9" spans="1:12" ht="32.25" x14ac:dyDescent="0.3">
      <c r="A9" s="6" t="s">
        <v>4</v>
      </c>
      <c r="B9" s="5"/>
      <c r="C9" s="4"/>
      <c r="D9" s="15" t="s">
        <v>37</v>
      </c>
      <c r="E9" s="41" t="s">
        <v>139</v>
      </c>
      <c r="F9" s="41" t="s">
        <v>139</v>
      </c>
      <c r="G9" s="13" t="s">
        <v>30</v>
      </c>
      <c r="H9" s="41"/>
      <c r="I9" s="41" t="s">
        <v>139</v>
      </c>
      <c r="J9" s="5"/>
      <c r="K9" s="2"/>
      <c r="L9" s="2"/>
    </row>
    <row r="10" spans="1:12" ht="18.75" x14ac:dyDescent="0.3">
      <c r="A10" s="6" t="s">
        <v>5</v>
      </c>
      <c r="B10" s="5"/>
      <c r="C10" s="4"/>
      <c r="D10" s="4" t="s">
        <v>88</v>
      </c>
      <c r="E10" s="41"/>
      <c r="F10" s="41"/>
      <c r="G10" s="13" t="s">
        <v>31</v>
      </c>
      <c r="H10" s="41"/>
      <c r="I10" s="41"/>
      <c r="J10" s="13"/>
      <c r="K10" s="2"/>
      <c r="L10" s="2"/>
    </row>
    <row r="11" spans="1:12" ht="37.5" x14ac:dyDescent="0.3">
      <c r="A11" s="6" t="s">
        <v>6</v>
      </c>
      <c r="B11" s="5"/>
      <c r="C11" s="4"/>
      <c r="D11" s="4" t="s">
        <v>36</v>
      </c>
      <c r="E11" s="41" t="s">
        <v>139</v>
      </c>
      <c r="F11" s="41" t="s">
        <v>139</v>
      </c>
      <c r="G11" s="14" t="s">
        <v>31</v>
      </c>
      <c r="H11" s="41"/>
      <c r="I11" s="41" t="s">
        <v>139</v>
      </c>
      <c r="J11" s="5"/>
      <c r="K11" s="2"/>
      <c r="L11" s="2"/>
    </row>
    <row r="12" spans="1:12" ht="32.25" x14ac:dyDescent="0.3">
      <c r="A12" s="6" t="s">
        <v>64</v>
      </c>
      <c r="B12" s="5"/>
      <c r="C12" s="4"/>
      <c r="D12" s="15" t="s">
        <v>53</v>
      </c>
      <c r="E12" s="41" t="s">
        <v>139</v>
      </c>
      <c r="F12" s="41" t="s">
        <v>139</v>
      </c>
      <c r="G12" s="13" t="s">
        <v>30</v>
      </c>
      <c r="H12" s="41"/>
      <c r="I12" s="41" t="s">
        <v>139</v>
      </c>
      <c r="J12" s="5"/>
      <c r="L12" s="2"/>
    </row>
    <row r="13" spans="1:12" ht="27" customHeight="1" x14ac:dyDescent="0.3">
      <c r="A13" s="6" t="s">
        <v>7</v>
      </c>
      <c r="B13" s="5"/>
      <c r="C13" s="4"/>
      <c r="D13" s="15" t="s">
        <v>34</v>
      </c>
      <c r="E13" s="41" t="s">
        <v>139</v>
      </c>
      <c r="F13" s="41" t="s">
        <v>139</v>
      </c>
      <c r="G13" s="13" t="s">
        <v>30</v>
      </c>
      <c r="H13" s="41"/>
      <c r="I13" s="41" t="s">
        <v>139</v>
      </c>
      <c r="J13" s="5"/>
      <c r="K13" s="2"/>
      <c r="L13" s="2"/>
    </row>
    <row r="14" spans="1:12" ht="27" customHeight="1" x14ac:dyDescent="0.3">
      <c r="A14" s="28"/>
      <c r="B14" s="22"/>
      <c r="C14" s="22"/>
      <c r="D14" s="30"/>
      <c r="E14" s="44"/>
      <c r="F14" s="44"/>
      <c r="G14" s="31"/>
      <c r="H14" s="41"/>
      <c r="I14" s="45">
        <f>SUM(I6:I13)</f>
        <v>0</v>
      </c>
      <c r="J14" s="5"/>
      <c r="K14" s="2"/>
      <c r="L14" s="2"/>
    </row>
    <row r="15" spans="1:12" ht="18.75" x14ac:dyDescent="0.3">
      <c r="A15" s="90" t="s">
        <v>57</v>
      </c>
      <c r="B15" s="91"/>
      <c r="C15" s="91"/>
      <c r="D15" s="91"/>
      <c r="E15" s="91"/>
      <c r="F15" s="91"/>
      <c r="G15" s="92"/>
      <c r="H15" s="14"/>
      <c r="I15" s="5"/>
      <c r="J15" s="5"/>
      <c r="L15" s="2"/>
    </row>
    <row r="16" spans="1:12" ht="18.75" x14ac:dyDescent="0.3">
      <c r="A16" s="6" t="s">
        <v>19</v>
      </c>
      <c r="B16" s="5"/>
      <c r="C16" s="4"/>
      <c r="D16" s="4" t="s">
        <v>97</v>
      </c>
      <c r="E16" s="41" t="s">
        <v>139</v>
      </c>
      <c r="F16" s="41" t="s">
        <v>139</v>
      </c>
      <c r="G16" s="14" t="s">
        <v>55</v>
      </c>
      <c r="H16" s="41"/>
      <c r="I16" s="41" t="s">
        <v>139</v>
      </c>
      <c r="J16" s="5"/>
      <c r="L16" s="2"/>
    </row>
    <row r="17" spans="1:12" ht="18.75" x14ac:dyDescent="0.3">
      <c r="A17" s="6" t="s">
        <v>13</v>
      </c>
      <c r="B17" s="5"/>
      <c r="C17" s="4"/>
      <c r="D17" s="4" t="s">
        <v>42</v>
      </c>
      <c r="E17" s="41" t="s">
        <v>139</v>
      </c>
      <c r="F17" s="41" t="s">
        <v>139</v>
      </c>
      <c r="G17" s="14" t="s">
        <v>54</v>
      </c>
      <c r="H17" s="41"/>
      <c r="I17" s="41" t="s">
        <v>139</v>
      </c>
      <c r="J17" s="5"/>
      <c r="L17" s="2"/>
    </row>
    <row r="18" spans="1:12" ht="18.75" x14ac:dyDescent="0.3">
      <c r="A18" s="6" t="s">
        <v>9</v>
      </c>
      <c r="B18" s="5"/>
      <c r="C18" s="4"/>
      <c r="D18" s="4" t="s">
        <v>35</v>
      </c>
      <c r="E18" s="41" t="s">
        <v>139</v>
      </c>
      <c r="F18" s="41">
        <f>25</f>
        <v>25</v>
      </c>
      <c r="G18" s="14" t="s">
        <v>54</v>
      </c>
      <c r="H18" s="41">
        <f>4346.6/F18</f>
        <v>173.864</v>
      </c>
      <c r="I18" s="61">
        <f>F18*H18</f>
        <v>4346.6000000000004</v>
      </c>
      <c r="J18" s="13" t="s">
        <v>119</v>
      </c>
      <c r="K18" s="2"/>
      <c r="L18" s="2"/>
    </row>
    <row r="19" spans="1:12" ht="18.75" x14ac:dyDescent="0.3">
      <c r="A19" s="6" t="s">
        <v>10</v>
      </c>
      <c r="B19" s="5"/>
      <c r="C19" s="4"/>
      <c r="D19" s="4" t="s">
        <v>33</v>
      </c>
      <c r="E19" s="41" t="s">
        <v>139</v>
      </c>
      <c r="F19" s="41" t="s">
        <v>139</v>
      </c>
      <c r="G19" s="14" t="s">
        <v>54</v>
      </c>
      <c r="H19" s="41"/>
      <c r="I19" s="41" t="s">
        <v>139</v>
      </c>
      <c r="J19" s="5"/>
      <c r="K19" s="2"/>
      <c r="L19" s="2"/>
    </row>
    <row r="20" spans="1:12" ht="18.75" x14ac:dyDescent="0.3">
      <c r="A20" s="6" t="s">
        <v>11</v>
      </c>
      <c r="B20" s="5"/>
      <c r="C20" s="4"/>
      <c r="D20" s="4" t="s">
        <v>40</v>
      </c>
      <c r="E20" s="41" t="s">
        <v>139</v>
      </c>
      <c r="F20" s="41" t="s">
        <v>139</v>
      </c>
      <c r="G20" s="14" t="s">
        <v>54</v>
      </c>
      <c r="H20" s="41"/>
      <c r="I20" s="41" t="s">
        <v>139</v>
      </c>
      <c r="J20" s="5"/>
      <c r="K20" s="2"/>
      <c r="L20" s="2"/>
    </row>
    <row r="21" spans="1:12" ht="18.75" x14ac:dyDescent="0.3">
      <c r="A21" s="6"/>
      <c r="B21" s="5"/>
      <c r="C21" s="4"/>
      <c r="D21" s="4" t="s">
        <v>146</v>
      </c>
      <c r="E21" s="41" t="s">
        <v>139</v>
      </c>
      <c r="F21" s="41" t="s">
        <v>139</v>
      </c>
      <c r="G21" s="14" t="s">
        <v>147</v>
      </c>
      <c r="H21" s="41"/>
      <c r="I21" s="41" t="s">
        <v>139</v>
      </c>
      <c r="J21" s="13"/>
      <c r="K21" s="2"/>
      <c r="L21" s="2"/>
    </row>
    <row r="22" spans="1:12" ht="18.75" x14ac:dyDescent="0.3">
      <c r="A22" s="6" t="s">
        <v>8</v>
      </c>
      <c r="B22" s="5"/>
      <c r="C22" s="4"/>
      <c r="D22" s="4" t="s">
        <v>32</v>
      </c>
      <c r="E22" s="41" t="s">
        <v>139</v>
      </c>
      <c r="F22" s="41" t="s">
        <v>139</v>
      </c>
      <c r="G22" s="13" t="s">
        <v>30</v>
      </c>
      <c r="H22" s="41"/>
      <c r="I22" s="41" t="s">
        <v>139</v>
      </c>
      <c r="J22" s="5"/>
      <c r="K22" s="2"/>
      <c r="L22" s="2"/>
    </row>
    <row r="23" spans="1:12" ht="24.75" customHeight="1" x14ac:dyDescent="0.3">
      <c r="A23" s="6" t="s">
        <v>12</v>
      </c>
      <c r="B23" s="5"/>
      <c r="C23" s="4"/>
      <c r="D23" s="15" t="s">
        <v>41</v>
      </c>
      <c r="E23" s="41" t="s">
        <v>139</v>
      </c>
      <c r="F23" s="41" t="s">
        <v>139</v>
      </c>
      <c r="G23" s="14" t="s">
        <v>54</v>
      </c>
      <c r="H23" s="41"/>
      <c r="I23" s="41" t="s">
        <v>139</v>
      </c>
      <c r="J23" s="5"/>
      <c r="K23" s="2"/>
      <c r="L23" s="2"/>
    </row>
    <row r="24" spans="1:12" ht="37.5" customHeight="1" x14ac:dyDescent="0.3">
      <c r="A24" s="6"/>
      <c r="B24" s="5"/>
      <c r="C24" s="4"/>
      <c r="D24" s="15" t="s">
        <v>261</v>
      </c>
      <c r="E24" s="41"/>
      <c r="F24" s="41">
        <v>2</v>
      </c>
      <c r="G24" s="14" t="s">
        <v>55</v>
      </c>
      <c r="H24" s="45">
        <f>5009.8/F24</f>
        <v>2504.9</v>
      </c>
      <c r="I24" s="61">
        <f>F24*H24</f>
        <v>5009.8</v>
      </c>
      <c r="J24" s="13" t="s">
        <v>119</v>
      </c>
      <c r="K24" s="2"/>
      <c r="L24" s="2"/>
    </row>
    <row r="25" spans="1:12" ht="37.5" customHeight="1" x14ac:dyDescent="0.3">
      <c r="A25" s="6"/>
      <c r="B25" s="5"/>
      <c r="C25" s="4"/>
      <c r="D25" s="15" t="s">
        <v>192</v>
      </c>
      <c r="E25" s="41"/>
      <c r="F25" s="41">
        <f>0.27</f>
        <v>0.27</v>
      </c>
      <c r="G25" s="14" t="s">
        <v>115</v>
      </c>
      <c r="H25" s="45">
        <f>587.6/F25</f>
        <v>2176.2962962962961</v>
      </c>
      <c r="I25" s="61">
        <f>F25*H25</f>
        <v>587.6</v>
      </c>
      <c r="J25" s="13" t="s">
        <v>119</v>
      </c>
      <c r="K25" s="2"/>
      <c r="L25" s="2"/>
    </row>
    <row r="26" spans="1:12" ht="24.75" customHeight="1" x14ac:dyDescent="0.3">
      <c r="A26" s="6"/>
      <c r="B26" s="5"/>
      <c r="C26" s="4"/>
      <c r="D26" s="15"/>
      <c r="E26" s="41"/>
      <c r="F26" s="41"/>
      <c r="G26" s="14"/>
      <c r="H26" s="41"/>
      <c r="I26" s="41"/>
      <c r="J26" s="5"/>
      <c r="K26" s="2"/>
      <c r="L26" s="2"/>
    </row>
    <row r="27" spans="1:12" ht="18.75" x14ac:dyDescent="0.3">
      <c r="A27" s="6" t="s">
        <v>56</v>
      </c>
      <c r="B27" s="5"/>
      <c r="C27" s="4"/>
      <c r="D27" s="15" t="s">
        <v>140</v>
      </c>
      <c r="E27" s="41" t="s">
        <v>139</v>
      </c>
      <c r="F27" s="41" t="s">
        <v>139</v>
      </c>
      <c r="G27" s="14" t="s">
        <v>30</v>
      </c>
      <c r="H27" s="41"/>
      <c r="I27" s="41" t="s">
        <v>139</v>
      </c>
      <c r="J27" s="13"/>
      <c r="L27" s="2"/>
    </row>
    <row r="28" spans="1:12" ht="63.75" x14ac:dyDescent="0.3">
      <c r="A28" s="6"/>
      <c r="B28" s="5"/>
      <c r="C28" s="4"/>
      <c r="D28" s="15" t="s">
        <v>259</v>
      </c>
      <c r="E28" s="41"/>
      <c r="F28" s="41">
        <v>12</v>
      </c>
      <c r="G28" s="13" t="s">
        <v>177</v>
      </c>
      <c r="H28" s="45">
        <f>9218/F28</f>
        <v>768.16666666666663</v>
      </c>
      <c r="I28" s="61">
        <f>F28*H28</f>
        <v>9218</v>
      </c>
      <c r="J28" s="13" t="s">
        <v>178</v>
      </c>
      <c r="L28" s="2"/>
    </row>
    <row r="29" spans="1:12" ht="32.25" x14ac:dyDescent="0.3">
      <c r="A29" s="6"/>
      <c r="B29" s="5"/>
      <c r="C29" s="4"/>
      <c r="D29" s="15" t="s">
        <v>260</v>
      </c>
      <c r="E29" s="41"/>
      <c r="F29" s="41">
        <f>0.2</f>
        <v>0.2</v>
      </c>
      <c r="G29" s="13" t="s">
        <v>136</v>
      </c>
      <c r="H29" s="45">
        <f>2929/F29</f>
        <v>14645</v>
      </c>
      <c r="I29" s="61">
        <f>F29*H29</f>
        <v>2929</v>
      </c>
      <c r="J29" s="13" t="s">
        <v>121</v>
      </c>
      <c r="L29" s="2"/>
    </row>
    <row r="30" spans="1:12" ht="32.25" x14ac:dyDescent="0.3">
      <c r="A30" s="6" t="s">
        <v>58</v>
      </c>
      <c r="B30" s="5"/>
      <c r="C30" s="4"/>
      <c r="D30" s="15" t="s">
        <v>96</v>
      </c>
      <c r="E30" s="41" t="s">
        <v>139</v>
      </c>
      <c r="F30" s="41" t="s">
        <v>139</v>
      </c>
      <c r="G30" s="14" t="s">
        <v>54</v>
      </c>
      <c r="H30" s="41"/>
      <c r="I30" s="41" t="s">
        <v>139</v>
      </c>
      <c r="J30" s="5"/>
      <c r="L30" s="2"/>
    </row>
    <row r="31" spans="1:12" ht="32.25" x14ac:dyDescent="0.3">
      <c r="A31" s="6" t="s">
        <v>14</v>
      </c>
      <c r="B31" s="5"/>
      <c r="C31" s="4"/>
      <c r="D31" s="15" t="s">
        <v>95</v>
      </c>
      <c r="E31" s="41" t="s">
        <v>139</v>
      </c>
      <c r="F31" s="41" t="s">
        <v>139</v>
      </c>
      <c r="G31" s="14" t="s">
        <v>55</v>
      </c>
      <c r="H31" s="41"/>
      <c r="I31" s="41" t="s">
        <v>139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1" t="s">
        <v>139</v>
      </c>
      <c r="F32" s="41" t="s">
        <v>139</v>
      </c>
      <c r="G32" s="14" t="s">
        <v>55</v>
      </c>
      <c r="H32" s="41"/>
      <c r="I32" s="41" t="s">
        <v>139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1" t="s">
        <v>139</v>
      </c>
      <c r="F33" s="41" t="s">
        <v>139</v>
      </c>
      <c r="G33" s="14" t="s">
        <v>54</v>
      </c>
      <c r="H33" s="41"/>
      <c r="I33" s="41" t="s">
        <v>139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1" t="s">
        <v>139</v>
      </c>
      <c r="F34" s="41" t="s">
        <v>139</v>
      </c>
      <c r="G34" s="13" t="s">
        <v>30</v>
      </c>
      <c r="H34" s="41"/>
      <c r="I34" s="41" t="s">
        <v>139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1" t="s">
        <v>139</v>
      </c>
      <c r="F35" s="41" t="s">
        <v>139</v>
      </c>
      <c r="G35" s="14" t="s">
        <v>55</v>
      </c>
      <c r="H35" s="41"/>
      <c r="I35" s="41" t="s">
        <v>139</v>
      </c>
      <c r="J35" s="5"/>
      <c r="L35" s="2"/>
    </row>
    <row r="36" spans="1:12" ht="18.75" x14ac:dyDescent="0.3">
      <c r="A36" s="28"/>
      <c r="B36" s="22"/>
      <c r="C36" s="22"/>
      <c r="D36" s="22"/>
      <c r="E36" s="44"/>
      <c r="F36" s="44"/>
      <c r="G36" s="12"/>
      <c r="H36" s="41"/>
      <c r="I36" s="41">
        <f>SUM(I18:I35)</f>
        <v>22091</v>
      </c>
      <c r="J36" s="5"/>
      <c r="L36" s="2"/>
    </row>
    <row r="37" spans="1:12" ht="24" customHeight="1" x14ac:dyDescent="0.3">
      <c r="A37" s="90" t="s">
        <v>87</v>
      </c>
      <c r="B37" s="91"/>
      <c r="C37" s="91"/>
      <c r="D37" s="91"/>
      <c r="E37" s="91"/>
      <c r="F37" s="91"/>
      <c r="G37" s="92"/>
      <c r="H37" s="14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5" t="s">
        <v>156</v>
      </c>
      <c r="E38" s="32"/>
      <c r="F38" s="13">
        <f>10</f>
        <v>10</v>
      </c>
      <c r="G38" s="38" t="s">
        <v>31</v>
      </c>
      <c r="H38" s="33">
        <f>3832/F38</f>
        <v>383.2</v>
      </c>
      <c r="I38" s="62">
        <f t="shared" ref="I38:I44" si="0">F38*H38</f>
        <v>3832</v>
      </c>
      <c r="J38" s="13" t="s">
        <v>119</v>
      </c>
      <c r="L38" s="2"/>
    </row>
    <row r="39" spans="1:12" ht="32.25" customHeight="1" x14ac:dyDescent="0.3">
      <c r="A39" s="6"/>
      <c r="B39" s="5"/>
      <c r="C39" s="4"/>
      <c r="D39" s="15" t="s">
        <v>188</v>
      </c>
      <c r="E39" s="32"/>
      <c r="F39" s="31">
        <f>1+2</f>
        <v>3</v>
      </c>
      <c r="G39" s="13" t="s">
        <v>31</v>
      </c>
      <c r="H39" s="57">
        <f>(3472)/F39</f>
        <v>1157.3333333333333</v>
      </c>
      <c r="I39" s="63">
        <f t="shared" si="0"/>
        <v>3472</v>
      </c>
      <c r="J39" s="13" t="s">
        <v>119</v>
      </c>
      <c r="L39" s="2"/>
    </row>
    <row r="40" spans="1:12" ht="32.25" customHeight="1" x14ac:dyDescent="0.3">
      <c r="A40" s="6"/>
      <c r="B40" s="5"/>
      <c r="C40" s="4"/>
      <c r="D40" s="15" t="s">
        <v>217</v>
      </c>
      <c r="E40" s="32"/>
      <c r="F40" s="31">
        <f>16</f>
        <v>16</v>
      </c>
      <c r="G40" s="13" t="s">
        <v>31</v>
      </c>
      <c r="H40" s="57">
        <f>27815.4/F40</f>
        <v>1738.4625000000001</v>
      </c>
      <c r="I40" s="63">
        <f t="shared" si="0"/>
        <v>27815.4</v>
      </c>
      <c r="J40" s="13" t="s">
        <v>121</v>
      </c>
      <c r="L40" s="2"/>
    </row>
    <row r="41" spans="1:12" ht="32.25" customHeight="1" x14ac:dyDescent="0.3">
      <c r="A41" s="6"/>
      <c r="B41" s="5"/>
      <c r="C41" s="4"/>
      <c r="D41" s="15" t="s">
        <v>158</v>
      </c>
      <c r="E41" s="32"/>
      <c r="F41" s="31">
        <f>8</f>
        <v>8</v>
      </c>
      <c r="G41" s="13" t="s">
        <v>31</v>
      </c>
      <c r="H41" s="57">
        <f>8308.8/F41</f>
        <v>1038.5999999999999</v>
      </c>
      <c r="I41" s="63">
        <f t="shared" ref="I41" si="1">F41*H41</f>
        <v>8308.7999999999993</v>
      </c>
      <c r="J41" s="13" t="s">
        <v>121</v>
      </c>
      <c r="L41" s="2"/>
    </row>
    <row r="42" spans="1:12" ht="32.25" customHeight="1" x14ac:dyDescent="0.3">
      <c r="A42" s="6"/>
      <c r="B42" s="5"/>
      <c r="C42" s="4"/>
      <c r="D42" s="15" t="s">
        <v>157</v>
      </c>
      <c r="E42" s="32"/>
      <c r="F42" s="31">
        <f>18+1</f>
        <v>19</v>
      </c>
      <c r="G42" s="13" t="s">
        <v>31</v>
      </c>
      <c r="H42" s="57">
        <f>(10852.6+624.4)/F42</f>
        <v>604.0526315789474</v>
      </c>
      <c r="I42" s="63">
        <f t="shared" si="0"/>
        <v>11477</v>
      </c>
      <c r="J42" s="13" t="s">
        <v>121</v>
      </c>
      <c r="L42" s="2"/>
    </row>
    <row r="43" spans="1:12" ht="32.25" customHeight="1" x14ac:dyDescent="0.3">
      <c r="A43" s="6"/>
      <c r="B43" s="5"/>
      <c r="C43" s="4"/>
      <c r="D43" s="15" t="s">
        <v>253</v>
      </c>
      <c r="E43" s="32"/>
      <c r="F43" s="31">
        <f>1</f>
        <v>1</v>
      </c>
      <c r="G43" s="13" t="s">
        <v>31</v>
      </c>
      <c r="H43" s="31">
        <f>2253.8/F43</f>
        <v>2253.8000000000002</v>
      </c>
      <c r="I43" s="78">
        <f t="shared" si="0"/>
        <v>2253.8000000000002</v>
      </c>
      <c r="J43" s="13" t="s">
        <v>121</v>
      </c>
      <c r="L43" s="2"/>
    </row>
    <row r="44" spans="1:12" ht="32.25" customHeight="1" x14ac:dyDescent="0.3">
      <c r="A44" s="6"/>
      <c r="B44" s="5"/>
      <c r="C44" s="4"/>
      <c r="D44" s="15" t="s">
        <v>262</v>
      </c>
      <c r="E44" s="32"/>
      <c r="F44" s="31">
        <v>1</v>
      </c>
      <c r="G44" s="13" t="s">
        <v>31</v>
      </c>
      <c r="H44" s="31">
        <f>1557.2/F44</f>
        <v>1557.2</v>
      </c>
      <c r="I44" s="63">
        <f t="shared" si="0"/>
        <v>1557.2</v>
      </c>
      <c r="J44" s="13" t="s">
        <v>121</v>
      </c>
      <c r="L44" s="2"/>
    </row>
    <row r="45" spans="1:12" ht="32.25" customHeight="1" x14ac:dyDescent="0.3">
      <c r="A45" s="6"/>
      <c r="B45" s="5"/>
      <c r="C45" s="4"/>
      <c r="D45" s="15" t="s">
        <v>163</v>
      </c>
      <c r="E45" s="32"/>
      <c r="F45" s="31">
        <f>19.5</f>
        <v>19.5</v>
      </c>
      <c r="G45" s="13" t="s">
        <v>115</v>
      </c>
      <c r="H45" s="57">
        <f>3014/F45</f>
        <v>154.56410256410257</v>
      </c>
      <c r="I45" s="63">
        <f t="shared" ref="I45:I53" si="2">F45*H45</f>
        <v>3014</v>
      </c>
      <c r="J45" s="13" t="s">
        <v>121</v>
      </c>
      <c r="L45" s="2"/>
    </row>
    <row r="46" spans="1:12" ht="32.25" customHeight="1" x14ac:dyDescent="0.3">
      <c r="A46" s="6"/>
      <c r="B46" s="5"/>
      <c r="C46" s="4"/>
      <c r="D46" s="15" t="s">
        <v>193</v>
      </c>
      <c r="E46" s="32"/>
      <c r="F46" s="31">
        <f>36+8</f>
        <v>44</v>
      </c>
      <c r="G46" s="13" t="s">
        <v>150</v>
      </c>
      <c r="H46" s="57">
        <f>(9709.8+2168.4)/F46</f>
        <v>269.95909090909089</v>
      </c>
      <c r="I46" s="63">
        <f t="shared" si="2"/>
        <v>11878.199999999999</v>
      </c>
      <c r="J46" s="13" t="s">
        <v>121</v>
      </c>
      <c r="L46" s="2"/>
    </row>
    <row r="47" spans="1:12" ht="32.25" customHeight="1" x14ac:dyDescent="0.3">
      <c r="A47" s="6"/>
      <c r="B47" s="5"/>
      <c r="C47" s="4"/>
      <c r="D47" s="15" t="s">
        <v>194</v>
      </c>
      <c r="E47" s="32"/>
      <c r="F47" s="31">
        <f>2.88+0.32</f>
        <v>3.1999999999999997</v>
      </c>
      <c r="G47" s="13" t="s">
        <v>115</v>
      </c>
      <c r="H47" s="57">
        <f>(7970+1115.4)/F47</f>
        <v>2839.1875</v>
      </c>
      <c r="I47" s="63">
        <f t="shared" si="2"/>
        <v>9085.4</v>
      </c>
      <c r="J47" s="13" t="s">
        <v>121</v>
      </c>
      <c r="L47" s="2"/>
    </row>
    <row r="48" spans="1:12" ht="32.25" customHeight="1" x14ac:dyDescent="0.3">
      <c r="A48" s="6"/>
      <c r="B48" s="5"/>
      <c r="C48" s="4"/>
      <c r="D48" s="15" t="s">
        <v>195</v>
      </c>
      <c r="E48" s="32"/>
      <c r="F48" s="31">
        <f>11+1</f>
        <v>12</v>
      </c>
      <c r="G48" s="13" t="s">
        <v>31</v>
      </c>
      <c r="H48" s="57">
        <f>(37966+3666.4)/F48</f>
        <v>3469.3666666666668</v>
      </c>
      <c r="I48" s="63">
        <f t="shared" si="2"/>
        <v>41632.400000000001</v>
      </c>
      <c r="J48" s="13" t="s">
        <v>121</v>
      </c>
      <c r="L48" s="2"/>
    </row>
    <row r="49" spans="1:12" ht="32.25" customHeight="1" x14ac:dyDescent="0.3">
      <c r="A49" s="6"/>
      <c r="B49" s="5"/>
      <c r="C49" s="4"/>
      <c r="D49" s="15" t="s">
        <v>197</v>
      </c>
      <c r="E49" s="32"/>
      <c r="F49" s="31">
        <f>18</f>
        <v>18</v>
      </c>
      <c r="G49" s="13" t="s">
        <v>31</v>
      </c>
      <c r="H49" s="57">
        <f>26623.4/F49</f>
        <v>1479.0777777777778</v>
      </c>
      <c r="I49" s="63">
        <f t="shared" si="2"/>
        <v>26623.4</v>
      </c>
      <c r="J49" s="13" t="s">
        <v>121</v>
      </c>
      <c r="L49" s="2"/>
    </row>
    <row r="50" spans="1:12" ht="32.25" customHeight="1" x14ac:dyDescent="0.3">
      <c r="A50" s="6"/>
      <c r="B50" s="5"/>
      <c r="C50" s="4"/>
      <c r="D50" s="15" t="s">
        <v>198</v>
      </c>
      <c r="E50" s="32"/>
      <c r="F50" s="31">
        <f>1+1+1</f>
        <v>3</v>
      </c>
      <c r="G50" s="13" t="s">
        <v>31</v>
      </c>
      <c r="H50" s="57">
        <f>(6525.2+6911.4+6911)/F50</f>
        <v>6782.5333333333328</v>
      </c>
      <c r="I50" s="63">
        <f t="shared" si="2"/>
        <v>20347.599999999999</v>
      </c>
      <c r="J50" s="13" t="s">
        <v>121</v>
      </c>
      <c r="L50" s="2"/>
    </row>
    <row r="51" spans="1:12" ht="32.25" customHeight="1" x14ac:dyDescent="0.3">
      <c r="A51" s="6"/>
      <c r="B51" s="5"/>
      <c r="C51" s="4"/>
      <c r="D51" s="15" t="s">
        <v>218</v>
      </c>
      <c r="E51" s="32"/>
      <c r="F51" s="31">
        <v>13</v>
      </c>
      <c r="G51" s="13" t="s">
        <v>31</v>
      </c>
      <c r="H51" s="57">
        <f>1580.8/F51</f>
        <v>121.6</v>
      </c>
      <c r="I51" s="63">
        <f t="shared" si="2"/>
        <v>1580.8</v>
      </c>
      <c r="J51" s="13" t="s">
        <v>121</v>
      </c>
      <c r="L51" s="2"/>
    </row>
    <row r="52" spans="1:12" ht="32.25" customHeight="1" x14ac:dyDescent="0.3">
      <c r="A52" s="6"/>
      <c r="B52" s="5"/>
      <c r="C52" s="4"/>
      <c r="D52" s="15" t="s">
        <v>219</v>
      </c>
      <c r="E52" s="32"/>
      <c r="F52" s="31">
        <f>13</f>
        <v>13</v>
      </c>
      <c r="G52" s="13" t="s">
        <v>31</v>
      </c>
      <c r="H52" s="57">
        <f>8174.2/F52</f>
        <v>628.78461538461534</v>
      </c>
      <c r="I52" s="63">
        <f t="shared" si="2"/>
        <v>8174.1999999999989</v>
      </c>
      <c r="J52" s="13" t="s">
        <v>121</v>
      </c>
      <c r="L52" s="2"/>
    </row>
    <row r="53" spans="1:12" ht="53.25" customHeight="1" x14ac:dyDescent="0.3">
      <c r="A53" s="6"/>
      <c r="B53" s="5"/>
      <c r="C53" s="4"/>
      <c r="D53" s="15" t="s">
        <v>211</v>
      </c>
      <c r="E53" s="32"/>
      <c r="F53" s="31">
        <f>251.1+11.34</f>
        <v>262.44</v>
      </c>
      <c r="G53" s="13" t="s">
        <v>115</v>
      </c>
      <c r="H53" s="57">
        <f>(114535.2+5363.4)/F53</f>
        <v>456.86099679926838</v>
      </c>
      <c r="I53" s="63">
        <f t="shared" si="2"/>
        <v>119898.59999999999</v>
      </c>
      <c r="J53" s="13" t="s">
        <v>121</v>
      </c>
      <c r="L53" s="2"/>
    </row>
    <row r="54" spans="1:12" ht="45.75" customHeight="1" x14ac:dyDescent="0.3">
      <c r="A54" s="6"/>
      <c r="B54" s="5"/>
      <c r="C54" s="4"/>
      <c r="D54" s="15" t="s">
        <v>263</v>
      </c>
      <c r="E54" s="32"/>
      <c r="F54" s="31">
        <f>56.7</f>
        <v>56.7</v>
      </c>
      <c r="G54" s="13" t="s">
        <v>115</v>
      </c>
      <c r="H54" s="57">
        <f>39235.8/F54</f>
        <v>691.98941798941803</v>
      </c>
      <c r="I54" s="63">
        <f>F54*H54</f>
        <v>39235.800000000003</v>
      </c>
      <c r="J54" s="13" t="s">
        <v>121</v>
      </c>
      <c r="L54" s="2"/>
    </row>
    <row r="55" spans="1:12" ht="32.25" x14ac:dyDescent="0.3">
      <c r="A55" s="6" t="s">
        <v>51</v>
      </c>
      <c r="B55" s="5"/>
      <c r="C55" s="4"/>
      <c r="D55" s="15" t="s">
        <v>101</v>
      </c>
      <c r="E55" s="41"/>
      <c r="F55" s="41"/>
      <c r="G55" s="13" t="s">
        <v>115</v>
      </c>
      <c r="H55" s="41"/>
      <c r="I55" s="41"/>
      <c r="J55" s="13"/>
      <c r="L55" s="2"/>
    </row>
    <row r="56" spans="1:12" ht="32.25" x14ac:dyDescent="0.3">
      <c r="A56" s="6" t="s">
        <v>60</v>
      </c>
      <c r="B56" s="8"/>
      <c r="C56" s="4"/>
      <c r="D56" s="15" t="s">
        <v>47</v>
      </c>
      <c r="E56" s="41"/>
      <c r="F56" s="41"/>
      <c r="G56" s="14" t="s">
        <v>54</v>
      </c>
      <c r="H56" s="41"/>
      <c r="I56" s="41" t="s">
        <v>139</v>
      </c>
      <c r="J56" s="5"/>
      <c r="L56" s="2"/>
    </row>
    <row r="57" spans="1:12" ht="48" x14ac:dyDescent="0.3">
      <c r="A57" s="6"/>
      <c r="B57" s="8"/>
      <c r="C57" s="4"/>
      <c r="D57" s="15" t="s">
        <v>204</v>
      </c>
      <c r="E57" s="41"/>
      <c r="F57" s="41">
        <f>979.76</f>
        <v>979.76</v>
      </c>
      <c r="G57" s="13" t="s">
        <v>115</v>
      </c>
      <c r="H57" s="45">
        <f>178772.8/F57</f>
        <v>182.46591001878011</v>
      </c>
      <c r="I57" s="61">
        <f>F57*H57</f>
        <v>178772.8</v>
      </c>
      <c r="J57" s="13" t="s">
        <v>122</v>
      </c>
      <c r="L57" s="2"/>
    </row>
    <row r="58" spans="1:12" ht="32.25" x14ac:dyDescent="0.3">
      <c r="A58" s="6"/>
      <c r="B58" s="8"/>
      <c r="C58" s="4"/>
      <c r="D58" s="15" t="s">
        <v>205</v>
      </c>
      <c r="E58" s="41"/>
      <c r="F58" s="41">
        <f>1781.39+104.6</f>
        <v>1885.99</v>
      </c>
      <c r="G58" s="14" t="s">
        <v>115</v>
      </c>
      <c r="H58" s="45">
        <f>(1085953.2+66671.8)/F58</f>
        <v>611.15117259370413</v>
      </c>
      <c r="I58" s="61">
        <f>F58*H58</f>
        <v>1152625</v>
      </c>
      <c r="J58" s="13" t="s">
        <v>122</v>
      </c>
      <c r="L58" s="2"/>
    </row>
    <row r="59" spans="1:12" ht="52.5" customHeight="1" x14ac:dyDescent="0.3">
      <c r="A59" s="6"/>
      <c r="B59" s="8"/>
      <c r="C59" s="4"/>
      <c r="D59" s="15" t="s">
        <v>206</v>
      </c>
      <c r="E59" s="41"/>
      <c r="F59" s="41">
        <f>18.06</f>
        <v>18.059999999999999</v>
      </c>
      <c r="G59" s="13" t="s">
        <v>115</v>
      </c>
      <c r="H59" s="45">
        <f>6583.8/F59</f>
        <v>364.55149501661134</v>
      </c>
      <c r="I59" s="61">
        <f>F59*H59</f>
        <v>6583.8</v>
      </c>
      <c r="J59" s="13" t="s">
        <v>122</v>
      </c>
      <c r="L59" s="2"/>
    </row>
    <row r="60" spans="1:12" ht="51.75" customHeight="1" x14ac:dyDescent="0.3">
      <c r="A60" s="6"/>
      <c r="B60" s="8"/>
      <c r="C60" s="4"/>
      <c r="D60" s="15" t="s">
        <v>216</v>
      </c>
      <c r="E60" s="41"/>
      <c r="F60" s="41">
        <f>141.56</f>
        <v>141.56</v>
      </c>
      <c r="G60" s="13" t="s">
        <v>115</v>
      </c>
      <c r="H60" s="45">
        <f>29393.4/F60</f>
        <v>207.6391636055383</v>
      </c>
      <c r="I60" s="61">
        <f>F60*H60</f>
        <v>29393.4</v>
      </c>
      <c r="J60" s="13" t="s">
        <v>122</v>
      </c>
      <c r="L60" s="2"/>
    </row>
    <row r="61" spans="1:12" ht="32.25" x14ac:dyDescent="0.3">
      <c r="A61" s="6"/>
      <c r="B61" s="8"/>
      <c r="C61" s="4"/>
      <c r="D61" s="15" t="s">
        <v>240</v>
      </c>
      <c r="E61" s="41"/>
      <c r="F61" s="41">
        <f>104.6</f>
        <v>104.6</v>
      </c>
      <c r="G61" s="13" t="s">
        <v>115</v>
      </c>
      <c r="H61" s="45">
        <f>9681.2/F61</f>
        <v>92.554493307839394</v>
      </c>
      <c r="I61" s="61">
        <f>F61*H61</f>
        <v>9681.2000000000007</v>
      </c>
      <c r="J61" s="13" t="s">
        <v>122</v>
      </c>
      <c r="L61" s="2"/>
    </row>
    <row r="62" spans="1:12" ht="18.75" x14ac:dyDescent="0.3">
      <c r="A62" s="6" t="s">
        <v>62</v>
      </c>
      <c r="B62" s="5"/>
      <c r="C62" s="4"/>
      <c r="D62" s="15" t="s">
        <v>52</v>
      </c>
      <c r="E62" s="41"/>
      <c r="F62" s="41"/>
      <c r="G62" s="13" t="s">
        <v>54</v>
      </c>
      <c r="H62" s="41"/>
      <c r="I62" s="41" t="s">
        <v>139</v>
      </c>
      <c r="J62" s="5"/>
      <c r="L62" s="2"/>
    </row>
    <row r="63" spans="1:12" ht="18.75" x14ac:dyDescent="0.3">
      <c r="A63" s="6"/>
      <c r="B63" s="5"/>
      <c r="C63" s="4"/>
      <c r="D63" s="15" t="s">
        <v>208</v>
      </c>
      <c r="E63" s="41"/>
      <c r="F63" s="41">
        <f>8.6</f>
        <v>8.6</v>
      </c>
      <c r="G63" s="13" t="s">
        <v>207</v>
      </c>
      <c r="H63" s="45">
        <f>1336.2/F63</f>
        <v>155.37209302325581</v>
      </c>
      <c r="I63" s="61">
        <f t="shared" ref="I63:I68" si="3">F63*H63</f>
        <v>1336.2</v>
      </c>
      <c r="J63" s="13" t="s">
        <v>122</v>
      </c>
      <c r="L63" s="2"/>
    </row>
    <row r="64" spans="1:12" ht="34.5" customHeight="1" x14ac:dyDescent="0.3">
      <c r="A64" s="6"/>
      <c r="B64" s="5"/>
      <c r="C64" s="4"/>
      <c r="D64" s="15" t="s">
        <v>209</v>
      </c>
      <c r="E64" s="41"/>
      <c r="F64" s="41">
        <f>3</f>
        <v>3</v>
      </c>
      <c r="G64" s="13" t="s">
        <v>210</v>
      </c>
      <c r="H64" s="45">
        <f>916.6/F64</f>
        <v>305.53333333333336</v>
      </c>
      <c r="I64" s="61">
        <f t="shared" si="3"/>
        <v>916.60000000000014</v>
      </c>
      <c r="J64" s="13" t="s">
        <v>122</v>
      </c>
      <c r="L64" s="2"/>
    </row>
    <row r="65" spans="1:12" ht="57.75" customHeight="1" x14ac:dyDescent="0.3">
      <c r="A65" s="6"/>
      <c r="B65" s="5"/>
      <c r="C65" s="4"/>
      <c r="D65" s="15" t="s">
        <v>212</v>
      </c>
      <c r="E65" s="41"/>
      <c r="F65" s="41">
        <f>21.07</f>
        <v>21.07</v>
      </c>
      <c r="G65" s="13" t="s">
        <v>115</v>
      </c>
      <c r="H65" s="45">
        <f>16969.4/F65</f>
        <v>805.38205980066448</v>
      </c>
      <c r="I65" s="61">
        <f t="shared" si="3"/>
        <v>16969.400000000001</v>
      </c>
      <c r="J65" s="13" t="s">
        <v>122</v>
      </c>
      <c r="L65" s="2"/>
    </row>
    <row r="66" spans="1:12" ht="53.25" customHeight="1" x14ac:dyDescent="0.3">
      <c r="A66" s="6"/>
      <c r="B66" s="5"/>
      <c r="C66" s="4"/>
      <c r="D66" s="15" t="s">
        <v>213</v>
      </c>
      <c r="E66" s="41"/>
      <c r="F66" s="41">
        <f>18.06</f>
        <v>18.059999999999999</v>
      </c>
      <c r="G66" s="13" t="s">
        <v>115</v>
      </c>
      <c r="H66" s="45">
        <f>4411.4/F66</f>
        <v>244.26356589147287</v>
      </c>
      <c r="I66" s="61">
        <f t="shared" si="3"/>
        <v>4411.3999999999996</v>
      </c>
      <c r="J66" s="13" t="s">
        <v>122</v>
      </c>
      <c r="L66" s="2"/>
    </row>
    <row r="67" spans="1:12" ht="51" customHeight="1" x14ac:dyDescent="0.3">
      <c r="A67" s="6"/>
      <c r="B67" s="5"/>
      <c r="C67" s="4"/>
      <c r="D67" s="15" t="s">
        <v>214</v>
      </c>
      <c r="E67" s="41"/>
      <c r="F67" s="41">
        <f>20.21</f>
        <v>20.21</v>
      </c>
      <c r="G67" s="13" t="s">
        <v>115</v>
      </c>
      <c r="H67" s="45">
        <f>15286.4/F67</f>
        <v>756.37803067788218</v>
      </c>
      <c r="I67" s="61">
        <f t="shared" si="3"/>
        <v>15286.4</v>
      </c>
      <c r="J67" s="13" t="s">
        <v>122</v>
      </c>
      <c r="L67" s="2"/>
    </row>
    <row r="68" spans="1:12" ht="46.5" customHeight="1" x14ac:dyDescent="0.3">
      <c r="A68" s="6"/>
      <c r="B68" s="5"/>
      <c r="C68" s="4"/>
      <c r="D68" s="15" t="s">
        <v>215</v>
      </c>
      <c r="E68" s="41"/>
      <c r="F68" s="41">
        <f>2.35</f>
        <v>2.35</v>
      </c>
      <c r="G68" s="13" t="s">
        <v>115</v>
      </c>
      <c r="H68" s="45">
        <f>1577.6/F68</f>
        <v>671.31914893617011</v>
      </c>
      <c r="I68" s="61">
        <f t="shared" si="3"/>
        <v>1577.6</v>
      </c>
      <c r="J68" s="13" t="s">
        <v>122</v>
      </c>
      <c r="L68" s="2"/>
    </row>
    <row r="69" spans="1:12" ht="32.25" x14ac:dyDescent="0.3">
      <c r="A69" s="6" t="s">
        <v>63</v>
      </c>
      <c r="B69" s="5"/>
      <c r="C69" s="4"/>
      <c r="D69" s="15" t="s">
        <v>65</v>
      </c>
      <c r="E69" s="41" t="s">
        <v>139</v>
      </c>
      <c r="F69" s="41" t="s">
        <v>139</v>
      </c>
      <c r="G69" s="13" t="s">
        <v>30</v>
      </c>
      <c r="H69" s="41"/>
      <c r="I69" s="41" t="s">
        <v>139</v>
      </c>
      <c r="J69" s="5"/>
      <c r="L69" s="2"/>
    </row>
    <row r="70" spans="1:12" ht="18.75" x14ac:dyDescent="0.3">
      <c r="A70" s="6" t="s">
        <v>59</v>
      </c>
      <c r="B70" s="8"/>
      <c r="C70" s="4"/>
      <c r="D70" s="4" t="s">
        <v>48</v>
      </c>
      <c r="E70" s="41" t="s">
        <v>139</v>
      </c>
      <c r="F70" s="41" t="s">
        <v>139</v>
      </c>
      <c r="G70" s="14" t="s">
        <v>54</v>
      </c>
      <c r="H70" s="41"/>
      <c r="I70" s="41" t="s">
        <v>139</v>
      </c>
      <c r="J70" s="5"/>
      <c r="L70" s="2"/>
    </row>
    <row r="71" spans="1:12" ht="48" x14ac:dyDescent="0.3">
      <c r="A71" s="6"/>
      <c r="B71" s="8"/>
      <c r="C71" s="4"/>
      <c r="D71" s="15" t="s">
        <v>202</v>
      </c>
      <c r="E71" s="41"/>
      <c r="F71" s="41">
        <f>376.4</f>
        <v>376.4</v>
      </c>
      <c r="G71" s="13" t="s">
        <v>115</v>
      </c>
      <c r="H71" s="45">
        <f>68680.8/F71</f>
        <v>182.46758767268864</v>
      </c>
      <c r="I71" s="61">
        <f>F71*H71</f>
        <v>68680.800000000003</v>
      </c>
      <c r="J71" s="13" t="s">
        <v>122</v>
      </c>
      <c r="L71" s="2"/>
    </row>
    <row r="72" spans="1:12" ht="32.25" x14ac:dyDescent="0.3">
      <c r="A72" s="6"/>
      <c r="B72" s="8"/>
      <c r="C72" s="4"/>
      <c r="D72" s="15" t="s">
        <v>203</v>
      </c>
      <c r="E72" s="41"/>
      <c r="F72" s="41">
        <f>537.72</f>
        <v>537.72</v>
      </c>
      <c r="G72" s="14" t="s">
        <v>115</v>
      </c>
      <c r="H72" s="45">
        <f>449569.2/F72</f>
        <v>836.06561035483151</v>
      </c>
      <c r="I72" s="61">
        <f>F72*H72</f>
        <v>449569.2</v>
      </c>
      <c r="J72" s="13" t="s">
        <v>122</v>
      </c>
      <c r="L72" s="2"/>
    </row>
    <row r="73" spans="1:12" ht="24" customHeight="1" x14ac:dyDescent="0.3">
      <c r="A73" s="6" t="s">
        <v>61</v>
      </c>
      <c r="B73" s="8"/>
      <c r="C73" s="4"/>
      <c r="D73" s="4" t="s">
        <v>49</v>
      </c>
      <c r="E73" s="41" t="s">
        <v>139</v>
      </c>
      <c r="F73" s="41" t="s">
        <v>139</v>
      </c>
      <c r="G73" s="14" t="s">
        <v>54</v>
      </c>
      <c r="H73" s="41"/>
      <c r="I73" s="41" t="s">
        <v>139</v>
      </c>
      <c r="J73" s="5"/>
      <c r="L73" s="2"/>
    </row>
    <row r="74" spans="1:12" ht="18.75" x14ac:dyDescent="0.3">
      <c r="A74" s="6" t="s">
        <v>66</v>
      </c>
      <c r="B74" s="5"/>
      <c r="C74" s="4"/>
      <c r="D74" s="4" t="s">
        <v>94</v>
      </c>
      <c r="E74" s="41" t="s">
        <v>139</v>
      </c>
      <c r="F74" s="41" t="s">
        <v>139</v>
      </c>
      <c r="G74" s="14" t="s">
        <v>55</v>
      </c>
      <c r="H74" s="41"/>
      <c r="I74" s="41" t="s">
        <v>139</v>
      </c>
      <c r="J74" s="5"/>
      <c r="L74" s="2"/>
    </row>
    <row r="75" spans="1:12" ht="18.75" x14ac:dyDescent="0.3">
      <c r="A75" s="28"/>
      <c r="B75" s="22"/>
      <c r="C75" s="22"/>
      <c r="D75" s="22"/>
      <c r="E75" s="44"/>
      <c r="F75" s="44"/>
      <c r="G75" s="12"/>
      <c r="H75" s="41"/>
      <c r="I75" s="45">
        <f>SUM(I38:I74)</f>
        <v>2275990.4</v>
      </c>
      <c r="J75" s="5"/>
      <c r="L75" s="2"/>
    </row>
    <row r="76" spans="1:12" ht="18.75" x14ac:dyDescent="0.3">
      <c r="A76" s="90" t="s">
        <v>68</v>
      </c>
      <c r="B76" s="91"/>
      <c r="C76" s="91"/>
      <c r="D76" s="91"/>
      <c r="E76" s="91"/>
      <c r="F76" s="91"/>
      <c r="G76" s="92"/>
      <c r="H76" s="18"/>
      <c r="I76" s="5"/>
      <c r="J76" s="5"/>
      <c r="L76" s="2"/>
    </row>
    <row r="77" spans="1:12" ht="47.25" x14ac:dyDescent="0.25">
      <c r="A77" s="9" t="s">
        <v>29</v>
      </c>
      <c r="B77" s="8"/>
      <c r="C77" s="4"/>
      <c r="D77" s="15" t="s">
        <v>189</v>
      </c>
      <c r="E77" s="41"/>
      <c r="F77" s="41">
        <f>30</f>
        <v>30</v>
      </c>
      <c r="G77" s="13" t="s">
        <v>55</v>
      </c>
      <c r="H77" s="45">
        <f>5186.2/F77</f>
        <v>172.87333333333333</v>
      </c>
      <c r="I77" s="41">
        <f>F77*H77</f>
        <v>5186.2</v>
      </c>
      <c r="J77" s="13" t="s">
        <v>121</v>
      </c>
      <c r="L77" s="2"/>
    </row>
    <row r="78" spans="1:12" ht="46.5" customHeight="1" x14ac:dyDescent="0.25">
      <c r="A78" s="9" t="s">
        <v>93</v>
      </c>
      <c r="B78" s="8"/>
      <c r="C78" s="4"/>
      <c r="D78" s="42" t="s">
        <v>125</v>
      </c>
      <c r="E78" s="32"/>
      <c r="F78" s="13">
        <f>4154.2</f>
        <v>4154.2</v>
      </c>
      <c r="G78" s="13" t="s">
        <v>115</v>
      </c>
      <c r="H78" s="33">
        <f>(19446.2+19446.2+19446.2+19565.6+19565.6+19565.6+20329.2+20329.2+20329.2+20589.6+20589.6+20589.6)/F78</f>
        <v>57.722738433392735</v>
      </c>
      <c r="I78" s="33">
        <f t="shared" ref="I78:I87" si="4">F78*H78</f>
        <v>239791.80000000008</v>
      </c>
      <c r="J78" s="13" t="s">
        <v>165</v>
      </c>
      <c r="L78" s="2"/>
    </row>
    <row r="79" spans="1:12" ht="46.5" customHeight="1" x14ac:dyDescent="0.25">
      <c r="A79" s="9"/>
      <c r="B79" s="8"/>
      <c r="C79" s="4"/>
      <c r="D79" s="15" t="s">
        <v>113</v>
      </c>
      <c r="E79" s="32"/>
      <c r="F79" s="13">
        <f>3700</f>
        <v>3700</v>
      </c>
      <c r="G79" s="13" t="s">
        <v>30</v>
      </c>
      <c r="H79" s="33">
        <f>338026.4/F79</f>
        <v>91.358486486486498</v>
      </c>
      <c r="I79" s="33">
        <f t="shared" si="4"/>
        <v>338026.4</v>
      </c>
      <c r="J79" s="13" t="s">
        <v>122</v>
      </c>
      <c r="L79" s="2"/>
    </row>
    <row r="80" spans="1:12" ht="46.5" customHeight="1" x14ac:dyDescent="0.25">
      <c r="A80" s="9"/>
      <c r="B80" s="8"/>
      <c r="C80" s="4"/>
      <c r="D80" s="15" t="s">
        <v>114</v>
      </c>
      <c r="E80" s="41"/>
      <c r="F80" s="41">
        <f>520</f>
        <v>520</v>
      </c>
      <c r="G80" s="13" t="s">
        <v>30</v>
      </c>
      <c r="H80" s="45">
        <f>47999.6/F80</f>
        <v>92.30692307692307</v>
      </c>
      <c r="I80" s="41">
        <f t="shared" si="4"/>
        <v>47999.6</v>
      </c>
      <c r="J80" s="13" t="s">
        <v>122</v>
      </c>
      <c r="L80" s="2"/>
    </row>
    <row r="81" spans="1:12" ht="46.5" customHeight="1" x14ac:dyDescent="0.25">
      <c r="A81" s="9"/>
      <c r="B81" s="8"/>
      <c r="C81" s="4"/>
      <c r="D81" s="42" t="s">
        <v>228</v>
      </c>
      <c r="E81" s="41"/>
      <c r="F81" s="41">
        <f>2+1</f>
        <v>3</v>
      </c>
      <c r="G81" s="13" t="s">
        <v>143</v>
      </c>
      <c r="H81" s="45">
        <f>(16417.6+8512.2)/F81</f>
        <v>8309.9333333333325</v>
      </c>
      <c r="I81" s="41">
        <f t="shared" si="4"/>
        <v>24929.799999999996</v>
      </c>
      <c r="J81" s="13" t="s">
        <v>122</v>
      </c>
      <c r="L81" s="2"/>
    </row>
    <row r="82" spans="1:12" ht="46.5" customHeight="1" x14ac:dyDescent="0.25">
      <c r="A82" s="9"/>
      <c r="B82" s="8"/>
      <c r="C82" s="4"/>
      <c r="D82" s="42" t="s">
        <v>234</v>
      </c>
      <c r="E82" s="41"/>
      <c r="F82" s="41">
        <f>1</f>
        <v>1</v>
      </c>
      <c r="G82" s="13" t="s">
        <v>143</v>
      </c>
      <c r="H82" s="41">
        <f>1558.8/F82</f>
        <v>1558.8</v>
      </c>
      <c r="I82" s="41">
        <f t="shared" ref="I82:I83" si="5">F82*H82</f>
        <v>1558.8</v>
      </c>
      <c r="J82" s="13" t="s">
        <v>170</v>
      </c>
      <c r="L82" s="2"/>
    </row>
    <row r="83" spans="1:12" ht="46.5" customHeight="1" x14ac:dyDescent="0.25">
      <c r="A83" s="9"/>
      <c r="B83" s="8"/>
      <c r="C83" s="4"/>
      <c r="D83" s="15" t="s">
        <v>133</v>
      </c>
      <c r="E83" s="32"/>
      <c r="F83" s="13">
        <f>6+33</f>
        <v>39</v>
      </c>
      <c r="G83" s="13" t="s">
        <v>31</v>
      </c>
      <c r="H83" s="33">
        <f>(7239.6+40234.6)/F83</f>
        <v>1217.2871794871794</v>
      </c>
      <c r="I83" s="62">
        <f t="shared" si="5"/>
        <v>47474.2</v>
      </c>
      <c r="J83" s="13" t="s">
        <v>119</v>
      </c>
      <c r="L83" s="2"/>
    </row>
    <row r="84" spans="1:12" ht="46.5" customHeight="1" x14ac:dyDescent="0.25">
      <c r="A84" s="9"/>
      <c r="B84" s="8"/>
      <c r="C84" s="4"/>
      <c r="D84" s="15" t="s">
        <v>254</v>
      </c>
      <c r="E84" s="32"/>
      <c r="F84" s="13">
        <f>523+972</f>
        <v>1495</v>
      </c>
      <c r="G84" s="38" t="s">
        <v>255</v>
      </c>
      <c r="H84" s="33">
        <f>(210.2+391)/F84</f>
        <v>0.40214046822742477</v>
      </c>
      <c r="I84" s="71">
        <f>F84*H84</f>
        <v>601.20000000000005</v>
      </c>
      <c r="J84" s="13" t="s">
        <v>121</v>
      </c>
      <c r="L84" s="2"/>
    </row>
    <row r="85" spans="1:12" ht="46.5" customHeight="1" x14ac:dyDescent="0.25">
      <c r="A85" s="9"/>
      <c r="B85" s="8"/>
      <c r="C85" s="4"/>
      <c r="D85" s="15" t="s">
        <v>179</v>
      </c>
      <c r="E85" s="41"/>
      <c r="F85" s="41">
        <f>4</f>
        <v>4</v>
      </c>
      <c r="G85" s="13" t="s">
        <v>31</v>
      </c>
      <c r="H85" s="41">
        <f>81127.2/F85</f>
        <v>20281.8</v>
      </c>
      <c r="I85" s="61">
        <f>F85*H85</f>
        <v>81127.199999999997</v>
      </c>
      <c r="J85" s="13" t="s">
        <v>122</v>
      </c>
      <c r="L85" s="2"/>
    </row>
    <row r="86" spans="1:12" ht="46.5" customHeight="1" x14ac:dyDescent="0.25">
      <c r="A86" s="9"/>
      <c r="B86" s="8"/>
      <c r="C86" s="4"/>
      <c r="D86" s="15" t="s">
        <v>144</v>
      </c>
      <c r="E86" s="32"/>
      <c r="F86" s="13">
        <f>4</f>
        <v>4</v>
      </c>
      <c r="G86" s="13" t="s">
        <v>31</v>
      </c>
      <c r="H86" s="13">
        <f>29519.4/F86</f>
        <v>7379.85</v>
      </c>
      <c r="I86" s="62">
        <f t="shared" ref="I86" si="6">F86*H86</f>
        <v>29519.4</v>
      </c>
      <c r="J86" s="13" t="s">
        <v>122</v>
      </c>
      <c r="L86" s="2"/>
    </row>
    <row r="87" spans="1:12" ht="18.75" x14ac:dyDescent="0.25">
      <c r="A87" s="9" t="s">
        <v>84</v>
      </c>
      <c r="B87" s="8"/>
      <c r="C87" s="4"/>
      <c r="D87" s="15" t="s">
        <v>183</v>
      </c>
      <c r="E87" s="41"/>
      <c r="F87" s="41">
        <f>4</f>
        <v>4</v>
      </c>
      <c r="G87" s="13" t="s">
        <v>55</v>
      </c>
      <c r="H87" s="41">
        <f>6081.2/F87</f>
        <v>1520.3</v>
      </c>
      <c r="I87" s="61">
        <f t="shared" si="4"/>
        <v>6081.2</v>
      </c>
      <c r="J87" s="13" t="s">
        <v>165</v>
      </c>
      <c r="L87" s="2"/>
    </row>
    <row r="88" spans="1:12" ht="18.75" x14ac:dyDescent="0.25">
      <c r="A88" s="9"/>
      <c r="B88" s="8"/>
      <c r="C88" s="4"/>
      <c r="D88" s="15" t="s">
        <v>229</v>
      </c>
      <c r="E88" s="32"/>
      <c r="F88" s="31">
        <f>1</f>
        <v>1</v>
      </c>
      <c r="G88" s="13" t="s">
        <v>31</v>
      </c>
      <c r="H88" s="31">
        <f>1368.8</f>
        <v>1368.8</v>
      </c>
      <c r="I88" s="63">
        <f>F88*H88</f>
        <v>1368.8</v>
      </c>
      <c r="J88" s="13" t="s">
        <v>121</v>
      </c>
      <c r="L88" s="2"/>
    </row>
    <row r="89" spans="1:12" ht="18.75" x14ac:dyDescent="0.25">
      <c r="A89" s="9"/>
      <c r="B89" s="8"/>
      <c r="C89" s="4"/>
      <c r="D89" s="15" t="s">
        <v>230</v>
      </c>
      <c r="E89" s="32"/>
      <c r="F89" s="31">
        <f>1</f>
        <v>1</v>
      </c>
      <c r="G89" s="13" t="s">
        <v>31</v>
      </c>
      <c r="H89" s="31">
        <f>4476.6</f>
        <v>4476.6000000000004</v>
      </c>
      <c r="I89" s="63">
        <f>F89*H89</f>
        <v>4476.6000000000004</v>
      </c>
      <c r="J89" s="13" t="s">
        <v>121</v>
      </c>
      <c r="L89" s="2"/>
    </row>
    <row r="90" spans="1:12" ht="18.75" x14ac:dyDescent="0.25">
      <c r="A90" s="9" t="s">
        <v>20</v>
      </c>
      <c r="B90" s="8"/>
      <c r="C90" s="4"/>
      <c r="D90" s="15" t="s">
        <v>69</v>
      </c>
      <c r="E90" s="41"/>
      <c r="F90" s="41"/>
      <c r="G90" s="13" t="s">
        <v>30</v>
      </c>
      <c r="H90" s="41"/>
      <c r="I90" s="41" t="s">
        <v>139</v>
      </c>
      <c r="J90" s="13"/>
      <c r="L90" s="2"/>
    </row>
    <row r="91" spans="1:12" ht="31.5" x14ac:dyDescent="0.25">
      <c r="A91" s="9" t="s">
        <v>21</v>
      </c>
      <c r="B91" s="8"/>
      <c r="C91" s="4"/>
      <c r="D91" s="15" t="s">
        <v>71</v>
      </c>
      <c r="E91" s="41"/>
      <c r="F91" s="41"/>
      <c r="G91" s="13" t="s">
        <v>145</v>
      </c>
      <c r="H91" s="41"/>
      <c r="I91" s="41"/>
      <c r="J91" s="13"/>
      <c r="L91" s="2"/>
    </row>
    <row r="92" spans="1:12" ht="18.75" x14ac:dyDescent="0.25">
      <c r="A92" s="9"/>
      <c r="B92" s="8"/>
      <c r="C92" s="5"/>
      <c r="D92" s="40" t="s">
        <v>257</v>
      </c>
      <c r="E92" s="74"/>
      <c r="F92" s="74">
        <v>2</v>
      </c>
      <c r="G92" s="13" t="s">
        <v>31</v>
      </c>
      <c r="H92" s="74">
        <f>2094.8/F92</f>
        <v>1047.4000000000001</v>
      </c>
      <c r="I92" s="79">
        <f>F92*H92</f>
        <v>2094.8000000000002</v>
      </c>
      <c r="J92" s="13" t="s">
        <v>121</v>
      </c>
      <c r="L92" s="2"/>
    </row>
    <row r="93" spans="1:12" ht="18.75" x14ac:dyDescent="0.25">
      <c r="A93" s="9"/>
      <c r="B93" s="8"/>
      <c r="C93" s="5"/>
      <c r="D93" s="40" t="s">
        <v>258</v>
      </c>
      <c r="E93" s="74"/>
      <c r="F93" s="74">
        <v>2</v>
      </c>
      <c r="G93" s="13" t="s">
        <v>31</v>
      </c>
      <c r="H93" s="74">
        <f>118800.8/F93</f>
        <v>59400.4</v>
      </c>
      <c r="I93" s="79">
        <f>F93*H93</f>
        <v>118800.8</v>
      </c>
      <c r="J93" s="13" t="s">
        <v>121</v>
      </c>
      <c r="L93" s="2"/>
    </row>
    <row r="94" spans="1:12" ht="18.75" x14ac:dyDescent="0.25">
      <c r="A94" s="46"/>
      <c r="B94" s="47"/>
      <c r="C94" s="22"/>
      <c r="D94" s="30"/>
      <c r="E94" s="44"/>
      <c r="F94" s="44"/>
      <c r="G94" s="31"/>
      <c r="H94" s="41"/>
      <c r="I94" s="45">
        <f>SUM(I77:I93)</f>
        <v>949036.80000000016</v>
      </c>
      <c r="J94" s="13"/>
      <c r="L94" s="2"/>
    </row>
    <row r="95" spans="1:12" ht="18.75" x14ac:dyDescent="0.3">
      <c r="A95" s="86" t="s">
        <v>72</v>
      </c>
      <c r="B95" s="87"/>
      <c r="C95" s="87"/>
      <c r="D95" s="87"/>
      <c r="E95" s="87"/>
      <c r="F95" s="87"/>
      <c r="G95" s="88"/>
      <c r="H95" s="19"/>
      <c r="I95" s="5"/>
      <c r="J95" s="5"/>
      <c r="L95" s="2"/>
    </row>
    <row r="96" spans="1:12" ht="37.5" x14ac:dyDescent="0.25">
      <c r="A96" s="9" t="s">
        <v>93</v>
      </c>
      <c r="B96" s="8"/>
      <c r="C96" s="4"/>
      <c r="D96" s="4" t="s">
        <v>128</v>
      </c>
      <c r="E96" s="31"/>
      <c r="F96" s="13">
        <f>15+15+7+12+15+13+35+14+26+15+20+12+12</f>
        <v>211</v>
      </c>
      <c r="G96" s="13" t="s">
        <v>117</v>
      </c>
      <c r="H96" s="33">
        <f>(10532.8+10532.8+4915.6+8479.6+10598+9185+25692+10277.4+19084.8+11153.4+7159.6+8921.6+8921.6)/F96/3</f>
        <v>229.7854660347551</v>
      </c>
      <c r="I96" s="33">
        <f t="shared" ref="I96" si="7">F96*H96</f>
        <v>48484.73333333333</v>
      </c>
      <c r="J96" s="13" t="s">
        <v>165</v>
      </c>
      <c r="L96" s="2"/>
    </row>
    <row r="97" spans="1:12" ht="31.5" x14ac:dyDescent="0.25">
      <c r="A97" s="9"/>
      <c r="B97" s="8"/>
      <c r="C97" s="4"/>
      <c r="D97" s="15" t="s">
        <v>160</v>
      </c>
      <c r="E97" s="31"/>
      <c r="F97" s="31">
        <f>1</f>
        <v>1</v>
      </c>
      <c r="G97" s="13" t="s">
        <v>30</v>
      </c>
      <c r="H97" s="57">
        <f>340.8/F97</f>
        <v>340.8</v>
      </c>
      <c r="I97" s="63">
        <f t="shared" ref="I97:I104" si="8">F97*H97</f>
        <v>340.8</v>
      </c>
      <c r="J97" s="13" t="s">
        <v>121</v>
      </c>
      <c r="L97" s="2"/>
    </row>
    <row r="98" spans="1:12" ht="78.75" x14ac:dyDescent="0.25">
      <c r="A98" s="9"/>
      <c r="B98" s="8"/>
      <c r="C98" s="4"/>
      <c r="D98" s="15" t="s">
        <v>248</v>
      </c>
      <c r="E98" s="31"/>
      <c r="F98" s="31">
        <f>2</f>
        <v>2</v>
      </c>
      <c r="G98" s="13" t="s">
        <v>134</v>
      </c>
      <c r="H98" s="57">
        <f>50.2/F98</f>
        <v>25.1</v>
      </c>
      <c r="I98" s="63">
        <f t="shared" si="8"/>
        <v>50.2</v>
      </c>
      <c r="J98" s="13" t="s">
        <v>121</v>
      </c>
      <c r="L98" s="2"/>
    </row>
    <row r="99" spans="1:12" ht="47.25" x14ac:dyDescent="0.25">
      <c r="A99" s="9"/>
      <c r="B99" s="8"/>
      <c r="C99" s="4"/>
      <c r="D99" s="15" t="s">
        <v>249</v>
      </c>
      <c r="E99" s="31"/>
      <c r="F99" s="31">
        <f>1</f>
        <v>1</v>
      </c>
      <c r="G99" s="13" t="s">
        <v>30</v>
      </c>
      <c r="H99" s="31">
        <f>333.8/F99</f>
        <v>333.8</v>
      </c>
      <c r="I99" s="63">
        <f t="shared" si="8"/>
        <v>333.8</v>
      </c>
      <c r="J99" s="13" t="s">
        <v>121</v>
      </c>
      <c r="L99" s="2"/>
    </row>
    <row r="100" spans="1:12" ht="31.5" x14ac:dyDescent="0.25">
      <c r="A100" s="9"/>
      <c r="B100" s="8"/>
      <c r="C100" s="4"/>
      <c r="D100" s="15" t="s">
        <v>174</v>
      </c>
      <c r="E100" s="31"/>
      <c r="F100" s="31">
        <f>8</f>
        <v>8</v>
      </c>
      <c r="G100" s="13" t="s">
        <v>30</v>
      </c>
      <c r="H100" s="57">
        <f>4679/F100</f>
        <v>584.875</v>
      </c>
      <c r="I100" s="63">
        <f t="shared" si="8"/>
        <v>4679</v>
      </c>
      <c r="J100" s="13" t="s">
        <v>121</v>
      </c>
      <c r="L100" s="2"/>
    </row>
    <row r="101" spans="1:12" ht="18.75" x14ac:dyDescent="0.25">
      <c r="A101" s="9"/>
      <c r="B101" s="8"/>
      <c r="C101" s="4"/>
      <c r="D101" s="15" t="s">
        <v>152</v>
      </c>
      <c r="E101" s="41"/>
      <c r="F101" s="41">
        <f>2+2+7</f>
        <v>11</v>
      </c>
      <c r="G101" s="13" t="s">
        <v>31</v>
      </c>
      <c r="H101" s="45">
        <f>(2908.8+2908.8+10667.8)/F101</f>
        <v>1498.6727272727273</v>
      </c>
      <c r="I101" s="41">
        <f>F101*H101</f>
        <v>16485.400000000001</v>
      </c>
      <c r="J101" s="13"/>
      <c r="L101" s="2"/>
    </row>
    <row r="102" spans="1:12" ht="47.25" x14ac:dyDescent="0.25">
      <c r="A102" s="9"/>
      <c r="B102" s="8"/>
      <c r="C102" s="4"/>
      <c r="D102" s="15" t="s">
        <v>176</v>
      </c>
      <c r="E102" s="31"/>
      <c r="F102" s="31"/>
      <c r="G102" s="13" t="s">
        <v>30</v>
      </c>
      <c r="H102" s="31"/>
      <c r="I102" s="31"/>
      <c r="J102" s="13"/>
      <c r="L102" s="2"/>
    </row>
    <row r="103" spans="1:12" ht="78.75" x14ac:dyDescent="0.25">
      <c r="A103" s="9"/>
      <c r="B103" s="8"/>
      <c r="C103" s="4"/>
      <c r="D103" s="15" t="s">
        <v>161</v>
      </c>
      <c r="E103" s="31"/>
      <c r="F103" s="31">
        <f>11</f>
        <v>11</v>
      </c>
      <c r="G103" s="13" t="s">
        <v>134</v>
      </c>
      <c r="H103" s="57">
        <f>600.6/F103</f>
        <v>54.6</v>
      </c>
      <c r="I103" s="63">
        <f t="shared" si="8"/>
        <v>600.6</v>
      </c>
      <c r="J103" s="13" t="s">
        <v>121</v>
      </c>
      <c r="L103" s="2"/>
    </row>
    <row r="104" spans="1:12" ht="47.25" x14ac:dyDescent="0.25">
      <c r="A104" s="9"/>
      <c r="B104" s="8"/>
      <c r="C104" s="4"/>
      <c r="D104" s="15" t="s">
        <v>190</v>
      </c>
      <c r="E104" s="31"/>
      <c r="F104" s="31">
        <f>8</f>
        <v>8</v>
      </c>
      <c r="G104" s="13" t="s">
        <v>30</v>
      </c>
      <c r="H104" s="31">
        <f>13398.4/F104</f>
        <v>1674.8</v>
      </c>
      <c r="I104" s="63">
        <f t="shared" si="8"/>
        <v>13398.4</v>
      </c>
      <c r="J104" s="13" t="s">
        <v>121</v>
      </c>
      <c r="L104" s="2"/>
    </row>
    <row r="105" spans="1:12" ht="47.25" x14ac:dyDescent="0.25">
      <c r="A105" s="9"/>
      <c r="B105" s="8"/>
      <c r="C105" s="4"/>
      <c r="D105" s="15" t="s">
        <v>162</v>
      </c>
      <c r="E105" s="31"/>
      <c r="F105" s="31">
        <f>6+1+6+10+24+14+10+4+13+6+2</f>
        <v>96</v>
      </c>
      <c r="G105" s="13" t="s">
        <v>31</v>
      </c>
      <c r="H105" s="57">
        <f>(42702+1492+42702.6+71762+172228+104050.6+74321.8+29729+97767+45123+15041.4)/F105</f>
        <v>7259.5770833333336</v>
      </c>
      <c r="I105" s="63">
        <f t="shared" ref="I105" si="9">F105*H105</f>
        <v>696919.4</v>
      </c>
      <c r="J105" s="13" t="s">
        <v>180</v>
      </c>
      <c r="L105" s="2"/>
    </row>
    <row r="106" spans="1:12" ht="31.5" x14ac:dyDescent="0.25">
      <c r="A106" s="9"/>
      <c r="B106" s="8"/>
      <c r="C106" s="4"/>
      <c r="D106" s="15" t="s">
        <v>186</v>
      </c>
      <c r="E106" s="31"/>
      <c r="F106" s="13">
        <f>6</f>
        <v>6</v>
      </c>
      <c r="G106" s="13" t="s">
        <v>30</v>
      </c>
      <c r="H106" s="33">
        <f>12831.8/F106</f>
        <v>2138.6333333333332</v>
      </c>
      <c r="I106" s="62">
        <f t="shared" ref="I106:I111" si="10">F106*H106</f>
        <v>12831.8</v>
      </c>
      <c r="J106" s="13" t="s">
        <v>165</v>
      </c>
      <c r="L106" s="2"/>
    </row>
    <row r="107" spans="1:12" ht="31.5" x14ac:dyDescent="0.25">
      <c r="A107" s="9"/>
      <c r="B107" s="8"/>
      <c r="C107" s="4"/>
      <c r="D107" s="15" t="s">
        <v>235</v>
      </c>
      <c r="E107" s="31"/>
      <c r="F107" s="13">
        <f>8</f>
        <v>8</v>
      </c>
      <c r="G107" s="13" t="s">
        <v>30</v>
      </c>
      <c r="H107" s="33">
        <f>24713.4/F107</f>
        <v>3089.1750000000002</v>
      </c>
      <c r="I107" s="62">
        <f t="shared" ref="I107" si="11">F107*H107</f>
        <v>24713.4</v>
      </c>
      <c r="J107" s="13" t="s">
        <v>165</v>
      </c>
      <c r="L107" s="2"/>
    </row>
    <row r="108" spans="1:12" ht="31.5" x14ac:dyDescent="0.25">
      <c r="A108" s="9"/>
      <c r="B108" s="8"/>
      <c r="C108" s="4"/>
      <c r="D108" s="15" t="s">
        <v>179</v>
      </c>
      <c r="E108" s="41"/>
      <c r="F108" s="41">
        <v>2</v>
      </c>
      <c r="G108" s="13" t="s">
        <v>31</v>
      </c>
      <c r="H108" s="41">
        <f>43484/F108</f>
        <v>21742</v>
      </c>
      <c r="I108" s="61">
        <f>F108*H108</f>
        <v>43484</v>
      </c>
      <c r="J108" s="13" t="s">
        <v>165</v>
      </c>
      <c r="L108" s="2"/>
    </row>
    <row r="109" spans="1:12" ht="31.5" x14ac:dyDescent="0.25">
      <c r="A109" s="9"/>
      <c r="B109" s="8"/>
      <c r="C109" s="4"/>
      <c r="D109" s="15" t="s">
        <v>144</v>
      </c>
      <c r="E109" s="32"/>
      <c r="F109" s="13">
        <v>2</v>
      </c>
      <c r="G109" s="13" t="s">
        <v>31</v>
      </c>
      <c r="H109" s="13">
        <f>15567.2/F109</f>
        <v>7783.6</v>
      </c>
      <c r="I109" s="62">
        <f t="shared" ref="I109" si="12">F109*H109</f>
        <v>15567.2</v>
      </c>
      <c r="J109" s="13" t="s">
        <v>119</v>
      </c>
      <c r="L109" s="2"/>
    </row>
    <row r="110" spans="1:12" ht="18.75" x14ac:dyDescent="0.25">
      <c r="A110" s="9"/>
      <c r="B110" s="8"/>
      <c r="C110" s="4"/>
      <c r="D110" s="15" t="s">
        <v>171</v>
      </c>
      <c r="E110" s="31"/>
      <c r="F110" s="31">
        <f>1.5</f>
        <v>1.5</v>
      </c>
      <c r="G110" s="13" t="s">
        <v>150</v>
      </c>
      <c r="H110" s="57">
        <f>5503/F110</f>
        <v>3668.6666666666665</v>
      </c>
      <c r="I110" s="63">
        <f t="shared" si="10"/>
        <v>5503</v>
      </c>
      <c r="J110" s="13" t="s">
        <v>170</v>
      </c>
      <c r="L110" s="2"/>
    </row>
    <row r="111" spans="1:12" ht="18.75" x14ac:dyDescent="0.25">
      <c r="A111" s="9"/>
      <c r="B111" s="8"/>
      <c r="C111" s="4"/>
      <c r="D111" s="15" t="s">
        <v>133</v>
      </c>
      <c r="E111" s="32"/>
      <c r="F111" s="13">
        <f>16</f>
        <v>16</v>
      </c>
      <c r="G111" s="13" t="s">
        <v>31</v>
      </c>
      <c r="H111" s="33">
        <f>19506.2/F111</f>
        <v>1219.1375</v>
      </c>
      <c r="I111" s="62">
        <f t="shared" si="10"/>
        <v>19506.2</v>
      </c>
      <c r="J111" s="13" t="s">
        <v>119</v>
      </c>
      <c r="L111" s="2"/>
    </row>
    <row r="112" spans="1:12" ht="18.75" x14ac:dyDescent="0.25">
      <c r="A112" s="9" t="s">
        <v>84</v>
      </c>
      <c r="B112" s="8"/>
      <c r="C112" s="4"/>
      <c r="D112" s="15" t="s">
        <v>70</v>
      </c>
      <c r="E112" s="41"/>
      <c r="F112" s="41"/>
      <c r="G112" s="13" t="s">
        <v>55</v>
      </c>
      <c r="H112" s="41"/>
      <c r="I112" s="41" t="s">
        <v>139</v>
      </c>
      <c r="J112" s="5"/>
      <c r="L112" s="2"/>
    </row>
    <row r="113" spans="1:12" ht="31.5" x14ac:dyDescent="0.25">
      <c r="A113" s="9"/>
      <c r="B113" s="8"/>
      <c r="C113" s="4"/>
      <c r="D113" s="15" t="s">
        <v>173</v>
      </c>
      <c r="E113" s="41"/>
      <c r="F113" s="41">
        <v>1</v>
      </c>
      <c r="G113" s="13" t="s">
        <v>145</v>
      </c>
      <c r="H113" s="41"/>
      <c r="I113" s="61">
        <f>F113*H113</f>
        <v>0</v>
      </c>
      <c r="J113" s="13" t="s">
        <v>121</v>
      </c>
      <c r="L113" s="2"/>
    </row>
    <row r="114" spans="1:12" ht="18.75" x14ac:dyDescent="0.25">
      <c r="A114" s="9"/>
      <c r="B114" s="8"/>
      <c r="C114" s="4"/>
      <c r="D114" s="15" t="s">
        <v>250</v>
      </c>
      <c r="E114" s="41"/>
      <c r="F114" s="41">
        <f>2+14+4+7+8+4+18+6+2+6+4+62</f>
        <v>137</v>
      </c>
      <c r="G114" s="13" t="s">
        <v>55</v>
      </c>
      <c r="H114" s="45">
        <f>(2880.2+20159+5759.2+10126.6+12269.6+6135.8+35327.4+10597.2+2418.8+10597.2+7124.8+8724.2+3562)/F114</f>
        <v>990.37956204379566</v>
      </c>
      <c r="I114" s="61">
        <f t="shared" ref="I114" si="13">F114*H114</f>
        <v>135682</v>
      </c>
      <c r="J114" s="13" t="s">
        <v>121</v>
      </c>
      <c r="L114" s="2"/>
    </row>
    <row r="115" spans="1:12" ht="18.75" x14ac:dyDescent="0.25">
      <c r="A115" s="9"/>
      <c r="B115" s="8"/>
      <c r="C115" s="4"/>
      <c r="D115" s="15" t="s">
        <v>199</v>
      </c>
      <c r="E115" s="41"/>
      <c r="F115" s="41">
        <f>2</f>
        <v>2</v>
      </c>
      <c r="G115" s="13" t="s">
        <v>31</v>
      </c>
      <c r="H115" s="45">
        <f>11690.2/F115</f>
        <v>5845.1</v>
      </c>
      <c r="I115" s="61">
        <f>F115*H115</f>
        <v>11690.2</v>
      </c>
      <c r="J115" s="13" t="s">
        <v>121</v>
      </c>
      <c r="L115" s="2"/>
    </row>
    <row r="116" spans="1:12" ht="18.75" x14ac:dyDescent="0.25">
      <c r="A116" s="9"/>
      <c r="B116" s="8"/>
      <c r="C116" s="4"/>
      <c r="D116" s="42" t="s">
        <v>228</v>
      </c>
      <c r="E116" s="41"/>
      <c r="F116" s="41">
        <v>10</v>
      </c>
      <c r="G116" s="13" t="s">
        <v>143</v>
      </c>
      <c r="H116" s="45">
        <f>8407.8/F116</f>
        <v>840.78</v>
      </c>
      <c r="I116" s="73">
        <f t="shared" ref="I116" si="14">F116*H116</f>
        <v>8407.7999999999993</v>
      </c>
      <c r="J116" s="13" t="s">
        <v>170</v>
      </c>
      <c r="L116" s="2"/>
    </row>
    <row r="117" spans="1:12" ht="31.5" x14ac:dyDescent="0.25">
      <c r="A117" s="9" t="s">
        <v>21</v>
      </c>
      <c r="B117" s="8"/>
      <c r="C117" s="4"/>
      <c r="D117" s="15" t="s">
        <v>71</v>
      </c>
      <c r="E117" s="41"/>
      <c r="F117" s="41"/>
      <c r="G117" s="13" t="s">
        <v>145</v>
      </c>
      <c r="H117" s="41"/>
      <c r="I117" s="41"/>
      <c r="J117" s="13"/>
      <c r="L117" s="2"/>
    </row>
    <row r="118" spans="1:12" ht="18.75" x14ac:dyDescent="0.25">
      <c r="A118" s="46"/>
      <c r="B118" s="47"/>
      <c r="C118" s="22"/>
      <c r="D118" s="30"/>
      <c r="E118" s="44"/>
      <c r="F118" s="44"/>
      <c r="G118" s="31"/>
      <c r="H118" s="41"/>
      <c r="I118" s="45">
        <f>SUM(I96:I117)</f>
        <v>1058677.9333333333</v>
      </c>
      <c r="J118" s="13"/>
      <c r="L118" s="2"/>
    </row>
    <row r="119" spans="1:12" ht="18.75" x14ac:dyDescent="0.3">
      <c r="A119" s="86" t="s">
        <v>73</v>
      </c>
      <c r="B119" s="87"/>
      <c r="C119" s="87"/>
      <c r="D119" s="87"/>
      <c r="E119" s="87"/>
      <c r="F119" s="87"/>
      <c r="G119" s="88"/>
      <c r="H119" s="13"/>
      <c r="I119" s="5"/>
      <c r="J119" s="5"/>
      <c r="L119" s="2"/>
    </row>
    <row r="120" spans="1:12" ht="37.5" x14ac:dyDescent="0.25">
      <c r="A120" s="9" t="s">
        <v>93</v>
      </c>
      <c r="B120" s="8"/>
      <c r="C120" s="4"/>
      <c r="D120" s="4" t="s">
        <v>129</v>
      </c>
      <c r="E120" s="31"/>
      <c r="F120" s="13">
        <f>15+15+7+12+15+13+35+14+26+15+20+12+12</f>
        <v>211</v>
      </c>
      <c r="G120" s="13" t="s">
        <v>117</v>
      </c>
      <c r="H120" s="33">
        <f>(10532.8+10532.8+4915.6+8479.6+10598+9185+25692+10277.4+19084.8+11153.4+7159.6+8921.6+8921.6)/F120/3</f>
        <v>229.7854660347551</v>
      </c>
      <c r="I120" s="33">
        <f t="shared" ref="I120" si="15">F120*H120</f>
        <v>48484.73333333333</v>
      </c>
      <c r="J120" s="13" t="s">
        <v>165</v>
      </c>
      <c r="L120" s="2"/>
    </row>
    <row r="121" spans="1:12" ht="18.75" x14ac:dyDescent="0.25">
      <c r="A121" s="9" t="s">
        <v>84</v>
      </c>
      <c r="B121" s="8"/>
      <c r="C121" s="4"/>
      <c r="D121" s="15" t="s">
        <v>70</v>
      </c>
      <c r="E121" s="41" t="s">
        <v>139</v>
      </c>
      <c r="F121" s="41" t="s">
        <v>139</v>
      </c>
      <c r="G121" s="14" t="s">
        <v>55</v>
      </c>
      <c r="H121" s="41"/>
      <c r="I121" s="41" t="s">
        <v>139</v>
      </c>
      <c r="J121" s="5"/>
      <c r="L121" s="2"/>
    </row>
    <row r="122" spans="1:12" ht="18.75" x14ac:dyDescent="0.25">
      <c r="A122" s="9"/>
      <c r="B122" s="8"/>
      <c r="C122" s="4"/>
      <c r="D122" s="15" t="s">
        <v>236</v>
      </c>
      <c r="E122" s="41"/>
      <c r="F122" s="41">
        <f>1+2+2</f>
        <v>5</v>
      </c>
      <c r="G122" s="14" t="s">
        <v>31</v>
      </c>
      <c r="H122" s="41">
        <f>(1734.4+2418.8+2418.8)/F122</f>
        <v>1314.4</v>
      </c>
      <c r="I122" s="61">
        <f>F122*H122</f>
        <v>6572</v>
      </c>
      <c r="J122" s="13" t="s">
        <v>165</v>
      </c>
      <c r="L122" s="2"/>
    </row>
    <row r="123" spans="1:12" ht="31.5" x14ac:dyDescent="0.25">
      <c r="A123" s="9" t="s">
        <v>21</v>
      </c>
      <c r="B123" s="8"/>
      <c r="C123" s="4"/>
      <c r="D123" s="15" t="s">
        <v>71</v>
      </c>
      <c r="E123" s="41" t="s">
        <v>139</v>
      </c>
      <c r="F123" s="41" t="s">
        <v>139</v>
      </c>
      <c r="G123" s="14" t="s">
        <v>55</v>
      </c>
      <c r="H123" s="41"/>
      <c r="I123" s="41" t="s">
        <v>139</v>
      </c>
      <c r="J123" s="13" t="s">
        <v>121</v>
      </c>
      <c r="L123" s="2"/>
    </row>
    <row r="124" spans="1:12" ht="18.75" x14ac:dyDescent="0.25">
      <c r="A124" s="46"/>
      <c r="B124" s="47"/>
      <c r="C124" s="22"/>
      <c r="D124" s="30"/>
      <c r="E124" s="44"/>
      <c r="F124" s="44"/>
      <c r="G124" s="12"/>
      <c r="H124" s="41"/>
      <c r="I124" s="45">
        <f>SUM(I120:I123)</f>
        <v>55056.73333333333</v>
      </c>
      <c r="J124" s="5"/>
      <c r="L124" s="2"/>
    </row>
    <row r="125" spans="1:12" ht="18.75" x14ac:dyDescent="0.3">
      <c r="A125" s="86" t="s">
        <v>74</v>
      </c>
      <c r="B125" s="87"/>
      <c r="C125" s="87"/>
      <c r="D125" s="87"/>
      <c r="E125" s="87"/>
      <c r="F125" s="87"/>
      <c r="G125" s="88"/>
      <c r="H125" s="19"/>
      <c r="I125" s="5"/>
      <c r="J125" s="5"/>
      <c r="L125" s="2"/>
    </row>
    <row r="126" spans="1:12" ht="37.5" x14ac:dyDescent="0.25">
      <c r="A126" s="9" t="s">
        <v>99</v>
      </c>
      <c r="B126" s="8"/>
      <c r="C126" s="4"/>
      <c r="D126" s="4" t="s">
        <v>130</v>
      </c>
      <c r="E126" s="31"/>
      <c r="F126" s="13">
        <f>15+15+7+12+15+13+35+14+26+15+20+12+12</f>
        <v>211</v>
      </c>
      <c r="G126" s="13" t="s">
        <v>117</v>
      </c>
      <c r="H126" s="33">
        <f>(10532.8+10532.8+4915.6+8479.6+10598+9185+25692+10277.4+19084.8+11153.4+7159.6+8921.6+8921.6)/F126/3</f>
        <v>229.7854660347551</v>
      </c>
      <c r="I126" s="33">
        <f t="shared" ref="I126:I130" si="16">F126*H126</f>
        <v>48484.73333333333</v>
      </c>
      <c r="J126" s="13" t="s">
        <v>165</v>
      </c>
      <c r="L126" s="2"/>
    </row>
    <row r="127" spans="1:12" ht="18.75" x14ac:dyDescent="0.25">
      <c r="A127" s="9"/>
      <c r="B127" s="8"/>
      <c r="C127" s="4"/>
      <c r="D127" s="4" t="s">
        <v>154</v>
      </c>
      <c r="E127" s="41"/>
      <c r="F127" s="41">
        <f>2.3+18+15+18+21+115+36+8+5.4+25+72</f>
        <v>335.70000000000005</v>
      </c>
      <c r="G127" s="13" t="s">
        <v>136</v>
      </c>
      <c r="H127" s="45">
        <f>(150.2+1173.2+979+1181.4+1376.4+7543.4+2451+543.6+373+1723.8+4965.6)/F127</f>
        <v>66.906761989871896</v>
      </c>
      <c r="I127" s="41">
        <f>F127*H127</f>
        <v>22460.6</v>
      </c>
      <c r="J127" s="13" t="s">
        <v>153</v>
      </c>
      <c r="L127" s="2"/>
    </row>
    <row r="128" spans="1:12" ht="18.75" x14ac:dyDescent="0.25">
      <c r="A128" s="9"/>
      <c r="B128" s="8"/>
      <c r="C128" s="4"/>
      <c r="D128" s="4" t="s">
        <v>155</v>
      </c>
      <c r="E128" s="41"/>
      <c r="F128" s="41"/>
      <c r="G128" s="13" t="s">
        <v>136</v>
      </c>
      <c r="H128" s="45"/>
      <c r="I128" s="41">
        <f>F128*H128</f>
        <v>0</v>
      </c>
      <c r="J128" s="13" t="s">
        <v>178</v>
      </c>
      <c r="L128" s="2"/>
    </row>
    <row r="129" spans="1:12" ht="18.75" x14ac:dyDescent="0.25">
      <c r="A129" s="9"/>
      <c r="B129" s="8"/>
      <c r="C129" s="4"/>
      <c r="D129" s="4" t="s">
        <v>116</v>
      </c>
      <c r="E129" s="41"/>
      <c r="F129" s="41">
        <f>6+6+6+12+12+18+12+12+6+6+10</f>
        <v>106</v>
      </c>
      <c r="G129" s="13" t="s">
        <v>30</v>
      </c>
      <c r="H129" s="45">
        <f>(2003.4+2003.4+2003.4+4074.2+4074.2+6112.6+4247+4247+2123.4+2146.6+3581.4)/F129</f>
        <v>345.43962264150952</v>
      </c>
      <c r="I129" s="41">
        <f t="shared" si="16"/>
        <v>36616.600000000006</v>
      </c>
      <c r="J129" s="13" t="s">
        <v>165</v>
      </c>
      <c r="L129" s="2"/>
    </row>
    <row r="130" spans="1:12" ht="18.75" x14ac:dyDescent="0.25">
      <c r="A130" s="9"/>
      <c r="B130" s="8"/>
      <c r="C130" s="4"/>
      <c r="D130" s="4" t="s">
        <v>172</v>
      </c>
      <c r="E130" s="41"/>
      <c r="F130" s="41">
        <v>3</v>
      </c>
      <c r="G130" s="13" t="s">
        <v>30</v>
      </c>
      <c r="H130" s="45"/>
      <c r="I130" s="41">
        <f t="shared" si="16"/>
        <v>0</v>
      </c>
      <c r="J130" s="13" t="s">
        <v>165</v>
      </c>
      <c r="L130" s="2"/>
    </row>
    <row r="131" spans="1:12" ht="18.75" x14ac:dyDescent="0.25">
      <c r="A131" s="9"/>
      <c r="B131" s="8"/>
      <c r="C131" s="4"/>
      <c r="D131" s="4" t="s">
        <v>159</v>
      </c>
      <c r="E131" s="41"/>
      <c r="F131" s="41"/>
      <c r="G131" s="13" t="s">
        <v>31</v>
      </c>
      <c r="H131" s="41"/>
      <c r="I131" s="41"/>
      <c r="J131" s="13"/>
      <c r="L131" s="2"/>
    </row>
    <row r="132" spans="1:12" ht="18.75" x14ac:dyDescent="0.25">
      <c r="A132" s="9" t="s">
        <v>22</v>
      </c>
      <c r="B132" s="8"/>
      <c r="C132" s="4"/>
      <c r="D132" s="4" t="s">
        <v>77</v>
      </c>
      <c r="E132" s="41" t="s">
        <v>139</v>
      </c>
      <c r="F132" s="41" t="s">
        <v>139</v>
      </c>
      <c r="G132" s="13" t="s">
        <v>30</v>
      </c>
      <c r="H132" s="41"/>
      <c r="I132" s="41" t="s">
        <v>139</v>
      </c>
      <c r="J132" s="5"/>
      <c r="L132" s="2"/>
    </row>
    <row r="133" spans="1:12" ht="18.75" x14ac:dyDescent="0.25">
      <c r="A133" s="46"/>
      <c r="B133" s="47"/>
      <c r="C133" s="22"/>
      <c r="D133" s="22"/>
      <c r="E133" s="44"/>
      <c r="F133" s="44"/>
      <c r="G133" s="31"/>
      <c r="H133" s="41"/>
      <c r="I133" s="45">
        <f>SUM(I126:I132)</f>
        <v>107561.93333333333</v>
      </c>
      <c r="J133" s="5"/>
      <c r="L133" s="2"/>
    </row>
    <row r="134" spans="1:12" ht="18.75" x14ac:dyDescent="0.3">
      <c r="A134" s="86" t="s">
        <v>79</v>
      </c>
      <c r="B134" s="87"/>
      <c r="C134" s="87"/>
      <c r="D134" s="87"/>
      <c r="E134" s="87"/>
      <c r="F134" s="87"/>
      <c r="G134" s="88"/>
      <c r="H134" s="5"/>
      <c r="I134" s="5"/>
      <c r="J134" s="5"/>
      <c r="L134" s="2"/>
    </row>
    <row r="135" spans="1:12" ht="38.25" customHeight="1" x14ac:dyDescent="0.25">
      <c r="A135" s="9" t="s">
        <v>23</v>
      </c>
      <c r="B135" s="5"/>
      <c r="C135" s="4"/>
      <c r="D135" s="15" t="s">
        <v>142</v>
      </c>
      <c r="E135" s="41" t="s">
        <v>139</v>
      </c>
      <c r="F135" s="41"/>
      <c r="G135" s="13" t="s">
        <v>55</v>
      </c>
      <c r="H135" s="41"/>
      <c r="I135" s="73"/>
      <c r="J135" s="13"/>
      <c r="L135" s="2"/>
    </row>
    <row r="136" spans="1:12" ht="18.75" x14ac:dyDescent="0.25">
      <c r="A136" s="9" t="s">
        <v>24</v>
      </c>
      <c r="B136" s="5"/>
      <c r="C136" s="4"/>
      <c r="D136" s="4" t="s">
        <v>78</v>
      </c>
      <c r="E136" s="41" t="s">
        <v>139</v>
      </c>
      <c r="F136" s="41" t="s">
        <v>139</v>
      </c>
      <c r="G136" s="13" t="s">
        <v>55</v>
      </c>
      <c r="H136" s="41"/>
      <c r="I136" s="41" t="s">
        <v>139</v>
      </c>
      <c r="J136" s="13"/>
      <c r="L136" s="2"/>
    </row>
    <row r="137" spans="1:12" ht="31.5" x14ac:dyDescent="0.25">
      <c r="A137" s="9" t="s">
        <v>126</v>
      </c>
      <c r="B137" s="5"/>
      <c r="C137" s="4"/>
      <c r="D137" s="15" t="s">
        <v>196</v>
      </c>
      <c r="E137" s="41" t="s">
        <v>139</v>
      </c>
      <c r="F137" s="41"/>
      <c r="G137" s="13" t="s">
        <v>55</v>
      </c>
      <c r="H137" s="41"/>
      <c r="I137" s="61"/>
      <c r="J137" s="13"/>
      <c r="L137" s="2"/>
    </row>
    <row r="138" spans="1:12" ht="31.5" x14ac:dyDescent="0.25">
      <c r="A138" s="9"/>
      <c r="B138" s="5"/>
      <c r="C138" s="4"/>
      <c r="D138" s="15" t="s">
        <v>149</v>
      </c>
      <c r="E138" s="31"/>
      <c r="F138" s="13"/>
      <c r="G138" s="13" t="s">
        <v>150</v>
      </c>
      <c r="H138" s="33"/>
      <c r="I138" s="62"/>
      <c r="J138" s="13"/>
      <c r="L138" s="2"/>
    </row>
    <row r="139" spans="1:12" ht="18.75" x14ac:dyDescent="0.25">
      <c r="A139" s="9"/>
      <c r="B139" s="5"/>
      <c r="C139" s="4"/>
      <c r="D139" s="15" t="s">
        <v>220</v>
      </c>
      <c r="E139" s="31"/>
      <c r="F139" s="13">
        <f>95</f>
        <v>95</v>
      </c>
      <c r="G139" s="13" t="s">
        <v>31</v>
      </c>
      <c r="H139" s="33">
        <f>15647.6/F139</f>
        <v>164.71157894736842</v>
      </c>
      <c r="I139" s="62">
        <f t="shared" ref="I139:I143" si="17">F139*H139</f>
        <v>15647.6</v>
      </c>
      <c r="J139" s="13" t="s">
        <v>119</v>
      </c>
      <c r="L139" s="2"/>
    </row>
    <row r="140" spans="1:12" ht="18.75" x14ac:dyDescent="0.25">
      <c r="A140" s="9"/>
      <c r="B140" s="5"/>
      <c r="C140" s="4"/>
      <c r="D140" s="15" t="s">
        <v>221</v>
      </c>
      <c r="E140" s="31"/>
      <c r="F140" s="13">
        <v>95</v>
      </c>
      <c r="G140" s="13" t="s">
        <v>31</v>
      </c>
      <c r="H140" s="33">
        <f>190199.6/F140</f>
        <v>2002.101052631579</v>
      </c>
      <c r="I140" s="62">
        <f t="shared" si="17"/>
        <v>190199.6</v>
      </c>
      <c r="J140" s="13" t="s">
        <v>180</v>
      </c>
      <c r="L140" s="2"/>
    </row>
    <row r="141" spans="1:12" ht="18.75" x14ac:dyDescent="0.25">
      <c r="A141" s="9"/>
      <c r="B141" s="5"/>
      <c r="C141" s="4"/>
      <c r="D141" s="15" t="s">
        <v>222</v>
      </c>
      <c r="E141" s="31"/>
      <c r="F141" s="13">
        <v>80</v>
      </c>
      <c r="G141" s="13" t="s">
        <v>177</v>
      </c>
      <c r="H141" s="33">
        <f>30474.6/F141</f>
        <v>380.9325</v>
      </c>
      <c r="I141" s="62">
        <f t="shared" si="17"/>
        <v>30474.6</v>
      </c>
      <c r="J141" s="13"/>
      <c r="L141" s="2"/>
    </row>
    <row r="142" spans="1:12" ht="18.75" x14ac:dyDescent="0.25">
      <c r="A142" s="9"/>
      <c r="B142" s="5"/>
      <c r="C142" s="4"/>
      <c r="D142" s="15" t="s">
        <v>256</v>
      </c>
      <c r="E142" s="31"/>
      <c r="F142" s="13">
        <v>1</v>
      </c>
      <c r="G142" s="13" t="s">
        <v>31</v>
      </c>
      <c r="H142" s="13">
        <f>742/F142</f>
        <v>742</v>
      </c>
      <c r="I142" s="71">
        <f t="shared" si="17"/>
        <v>742</v>
      </c>
      <c r="J142" s="13" t="s">
        <v>121</v>
      </c>
      <c r="L142" s="2"/>
    </row>
    <row r="143" spans="1:12" ht="31.5" x14ac:dyDescent="0.25">
      <c r="A143" s="9"/>
      <c r="B143" s="5"/>
      <c r="C143" s="4"/>
      <c r="D143" s="15" t="s">
        <v>127</v>
      </c>
      <c r="E143" s="31"/>
      <c r="F143" s="13">
        <f>2+2+5</f>
        <v>9</v>
      </c>
      <c r="G143" s="13" t="s">
        <v>31</v>
      </c>
      <c r="H143" s="33">
        <f>(4216.4+4243+10612.8)/F143</f>
        <v>2119.1333333333332</v>
      </c>
      <c r="I143" s="62">
        <f t="shared" si="17"/>
        <v>19072.199999999997</v>
      </c>
      <c r="J143" s="13" t="s">
        <v>122</v>
      </c>
      <c r="L143" s="2"/>
    </row>
    <row r="144" spans="1:12" ht="18.75" x14ac:dyDescent="0.25">
      <c r="A144" s="9"/>
      <c r="B144" s="5"/>
      <c r="C144" s="4"/>
      <c r="D144" s="15" t="s">
        <v>108</v>
      </c>
      <c r="E144" s="32"/>
      <c r="F144" s="13">
        <f>6+4+12+8+20+6+8+8+8+16+9+6</f>
        <v>111</v>
      </c>
      <c r="G144" s="13" t="s">
        <v>55</v>
      </c>
      <c r="H144" s="33">
        <f>(1550.2+1032.6+2911.2+2068+5170+1552.4+1372+2795.2+2088.4+3836.8+2361.8+1573.8)/F144</f>
        <v>255.06666666666663</v>
      </c>
      <c r="I144" s="13">
        <f t="shared" ref="I144:I146" si="18">F144*H144</f>
        <v>28312.399999999998</v>
      </c>
      <c r="J144" s="13" t="s">
        <v>165</v>
      </c>
      <c r="L144" s="2"/>
    </row>
    <row r="145" spans="1:12" ht="18.75" x14ac:dyDescent="0.25">
      <c r="A145" s="9"/>
      <c r="B145" s="5"/>
      <c r="C145" s="4"/>
      <c r="D145" s="15" t="s">
        <v>141</v>
      </c>
      <c r="E145" s="32"/>
      <c r="F145" s="13">
        <f>3+1</f>
        <v>4</v>
      </c>
      <c r="G145" s="13" t="s">
        <v>31</v>
      </c>
      <c r="H145" s="13">
        <f>(532.2+185.8)/F145</f>
        <v>179.5</v>
      </c>
      <c r="I145" s="13">
        <f t="shared" si="18"/>
        <v>718</v>
      </c>
      <c r="J145" s="13" t="s">
        <v>165</v>
      </c>
      <c r="L145" s="2"/>
    </row>
    <row r="146" spans="1:12" ht="56.25" x14ac:dyDescent="0.25">
      <c r="A146" s="9" t="s">
        <v>109</v>
      </c>
      <c r="B146" s="5"/>
      <c r="C146" s="4"/>
      <c r="D146" s="15" t="s">
        <v>124</v>
      </c>
      <c r="E146" s="32"/>
      <c r="F146" s="13">
        <f>78+78+78+78+78+78+78+78+78+78+78</f>
        <v>858</v>
      </c>
      <c r="G146" s="13" t="s">
        <v>110</v>
      </c>
      <c r="H146" s="33">
        <f>(3418+3418+3418+3439.4+3439.4+3439.4+3574+3574+3574+3619.8+3619.8+3619.8)/F146</f>
        <v>49.130069930069936</v>
      </c>
      <c r="I146" s="13">
        <f t="shared" si="18"/>
        <v>42153.600000000006</v>
      </c>
      <c r="J146" s="13" t="s">
        <v>165</v>
      </c>
      <c r="L146" s="2"/>
    </row>
    <row r="147" spans="1:12" ht="18.75" x14ac:dyDescent="0.25">
      <c r="A147" s="46"/>
      <c r="B147" s="22"/>
      <c r="C147" s="22"/>
      <c r="D147" s="30"/>
      <c r="E147" s="48"/>
      <c r="F147" s="49"/>
      <c r="G147" s="31"/>
      <c r="H147" s="31"/>
      <c r="I147" s="13">
        <f>SUM(I135:I146)</f>
        <v>327320</v>
      </c>
      <c r="J147" s="13"/>
      <c r="L147" s="2"/>
    </row>
    <row r="148" spans="1:12" ht="18.75" x14ac:dyDescent="0.25">
      <c r="A148" s="93" t="s">
        <v>92</v>
      </c>
      <c r="B148" s="94"/>
      <c r="C148" s="94"/>
      <c r="D148" s="94"/>
      <c r="E148" s="94"/>
      <c r="F148" s="94"/>
      <c r="G148" s="95"/>
      <c r="H148" s="12"/>
      <c r="I148" s="5"/>
      <c r="J148" s="5"/>
      <c r="L148" s="2"/>
    </row>
    <row r="149" spans="1:12" ht="18.75" x14ac:dyDescent="0.25">
      <c r="A149" s="26"/>
      <c r="B149" s="27"/>
      <c r="C149" s="27"/>
      <c r="D149" s="36" t="s">
        <v>118</v>
      </c>
      <c r="E149" s="41"/>
      <c r="F149" s="41">
        <f>1+2</f>
        <v>3</v>
      </c>
      <c r="G149" s="38" t="s">
        <v>31</v>
      </c>
      <c r="H149" s="60">
        <f>(1014.4+4277.2)/F149</f>
        <v>1763.8666666666666</v>
      </c>
      <c r="I149" s="41">
        <f>F149*H149</f>
        <v>5291.5999999999995</v>
      </c>
      <c r="J149" s="13" t="s">
        <v>165</v>
      </c>
      <c r="L149" s="2"/>
    </row>
    <row r="150" spans="1:12" ht="63" x14ac:dyDescent="0.25">
      <c r="A150" s="9" t="s">
        <v>90</v>
      </c>
      <c r="B150" s="22"/>
      <c r="C150" s="22"/>
      <c r="D150" s="23" t="s">
        <v>120</v>
      </c>
      <c r="E150" s="37">
        <v>2730</v>
      </c>
      <c r="F150" s="13">
        <v>2730</v>
      </c>
      <c r="G150" s="31" t="s">
        <v>91</v>
      </c>
      <c r="H150" s="31">
        <v>4.8</v>
      </c>
      <c r="I150" s="13">
        <f>F150*H150*12</f>
        <v>157248</v>
      </c>
      <c r="J150" s="13" t="s">
        <v>165</v>
      </c>
      <c r="L150" s="2"/>
    </row>
    <row r="151" spans="1:12" ht="18.75" x14ac:dyDescent="0.25">
      <c r="A151" s="46"/>
      <c r="B151" s="22"/>
      <c r="C151" s="22"/>
      <c r="D151" s="30"/>
      <c r="E151" s="48"/>
      <c r="F151" s="49"/>
      <c r="G151" s="31"/>
      <c r="H151" s="31"/>
      <c r="I151" s="13">
        <f>SUM(I149:I150)</f>
        <v>162539.6</v>
      </c>
      <c r="J151" s="13"/>
      <c r="L151" s="2"/>
    </row>
    <row r="152" spans="1:12" ht="18.75" x14ac:dyDescent="0.3">
      <c r="A152" s="86" t="s">
        <v>80</v>
      </c>
      <c r="B152" s="87"/>
      <c r="C152" s="87"/>
      <c r="D152" s="87"/>
      <c r="E152" s="87"/>
      <c r="F152" s="87"/>
      <c r="G152" s="88"/>
      <c r="H152" s="19"/>
      <c r="I152" s="5"/>
      <c r="J152" s="5"/>
      <c r="L152" s="2"/>
    </row>
    <row r="153" spans="1:12" ht="46.5" customHeight="1" x14ac:dyDescent="0.3">
      <c r="A153" s="34" t="s">
        <v>132</v>
      </c>
      <c r="B153" s="24"/>
      <c r="C153" s="24"/>
      <c r="D153" s="35" t="s">
        <v>131</v>
      </c>
      <c r="E153" s="13">
        <v>624</v>
      </c>
      <c r="F153" s="13">
        <v>624</v>
      </c>
      <c r="G153" s="13" t="s">
        <v>138</v>
      </c>
      <c r="H153" s="13">
        <v>13</v>
      </c>
      <c r="I153" s="13">
        <f>F153*H153*3</f>
        <v>24336</v>
      </c>
      <c r="J153" s="13" t="s">
        <v>166</v>
      </c>
      <c r="L153" s="2"/>
    </row>
    <row r="154" spans="1:12" ht="18.75" x14ac:dyDescent="0.25">
      <c r="A154" s="9" t="s">
        <v>25</v>
      </c>
      <c r="B154" s="5"/>
      <c r="C154" s="4"/>
      <c r="D154" s="4" t="s">
        <v>76</v>
      </c>
      <c r="E154" s="41" t="s">
        <v>139</v>
      </c>
      <c r="F154" s="41" t="s">
        <v>139</v>
      </c>
      <c r="G154" s="14" t="s">
        <v>55</v>
      </c>
      <c r="H154" s="41" t="s">
        <v>139</v>
      </c>
      <c r="I154" s="41" t="s">
        <v>139</v>
      </c>
      <c r="J154" s="5"/>
      <c r="L154" s="2"/>
    </row>
    <row r="155" spans="1:12" ht="47.25" x14ac:dyDescent="0.25">
      <c r="A155" s="9" t="s">
        <v>26</v>
      </c>
      <c r="B155" s="5"/>
      <c r="C155" s="4"/>
      <c r="D155" s="15" t="s">
        <v>28</v>
      </c>
      <c r="E155" s="41" t="s">
        <v>139</v>
      </c>
      <c r="F155" s="41" t="s">
        <v>139</v>
      </c>
      <c r="G155" s="14" t="s">
        <v>55</v>
      </c>
      <c r="H155" s="41" t="s">
        <v>139</v>
      </c>
      <c r="I155" s="41" t="s">
        <v>139</v>
      </c>
      <c r="J155" s="5"/>
      <c r="L155" s="2"/>
    </row>
    <row r="156" spans="1:12" ht="31.5" x14ac:dyDescent="0.25">
      <c r="A156" s="9" t="s">
        <v>27</v>
      </c>
      <c r="B156" s="5"/>
      <c r="C156" s="4"/>
      <c r="D156" s="15" t="s">
        <v>75</v>
      </c>
      <c r="E156" s="41" t="s">
        <v>139</v>
      </c>
      <c r="F156" s="41" t="s">
        <v>139</v>
      </c>
      <c r="G156" s="14" t="s">
        <v>55</v>
      </c>
      <c r="H156" s="41" t="s">
        <v>139</v>
      </c>
      <c r="I156" s="41" t="s">
        <v>139</v>
      </c>
      <c r="J156" s="5"/>
      <c r="L156" s="2"/>
    </row>
    <row r="157" spans="1:12" ht="18.75" x14ac:dyDescent="0.25">
      <c r="A157" s="46"/>
      <c r="B157" s="22"/>
      <c r="C157" s="22"/>
      <c r="D157" s="30"/>
      <c r="E157" s="44"/>
      <c r="F157" s="44"/>
      <c r="G157" s="12"/>
      <c r="H157" s="74"/>
      <c r="I157" s="74">
        <f>SUM(I153:I156)</f>
        <v>24336</v>
      </c>
      <c r="J157" s="5"/>
      <c r="L157" s="2"/>
    </row>
    <row r="158" spans="1:12" ht="18.75" x14ac:dyDescent="0.3">
      <c r="A158" s="86" t="s">
        <v>85</v>
      </c>
      <c r="B158" s="87"/>
      <c r="C158" s="87"/>
      <c r="D158" s="87"/>
      <c r="E158" s="87"/>
      <c r="F158" s="87"/>
      <c r="G158" s="88"/>
      <c r="H158" s="25"/>
      <c r="I158" s="25"/>
      <c r="J158" s="25"/>
      <c r="K158" s="2"/>
      <c r="L158" s="2"/>
    </row>
    <row r="159" spans="1:12" ht="48" x14ac:dyDescent="0.3">
      <c r="A159" s="6" t="s">
        <v>67</v>
      </c>
      <c r="B159" s="6"/>
      <c r="C159" s="4"/>
      <c r="D159" s="15" t="s">
        <v>86</v>
      </c>
      <c r="E159" s="41" t="s">
        <v>139</v>
      </c>
      <c r="F159" s="41" t="s">
        <v>139</v>
      </c>
      <c r="G159" s="13" t="s">
        <v>30</v>
      </c>
      <c r="H159" s="41" t="s">
        <v>139</v>
      </c>
      <c r="I159" s="41" t="s">
        <v>139</v>
      </c>
      <c r="J159" s="5"/>
      <c r="L159" s="2"/>
    </row>
    <row r="160" spans="1:12" ht="32.25" x14ac:dyDescent="0.3">
      <c r="A160" s="28"/>
      <c r="B160" s="29"/>
      <c r="C160" s="22"/>
      <c r="D160" s="30" t="s">
        <v>111</v>
      </c>
      <c r="E160" s="41" t="s">
        <v>139</v>
      </c>
      <c r="F160" s="41" t="s">
        <v>139</v>
      </c>
      <c r="G160" s="13" t="s">
        <v>112</v>
      </c>
      <c r="H160" s="41" t="s">
        <v>139</v>
      </c>
      <c r="I160" s="41" t="s">
        <v>139</v>
      </c>
      <c r="J160" s="39"/>
      <c r="L160" s="2"/>
    </row>
    <row r="161" spans="1:12" ht="18.75" x14ac:dyDescent="0.3">
      <c r="A161" s="86" t="s">
        <v>100</v>
      </c>
      <c r="B161" s="87"/>
      <c r="C161" s="87"/>
      <c r="D161" s="87"/>
      <c r="E161" s="87"/>
      <c r="F161" s="87"/>
      <c r="G161" s="88"/>
      <c r="H161" s="86"/>
      <c r="I161" s="87"/>
      <c r="J161" s="87"/>
      <c r="L161" s="2"/>
    </row>
    <row r="162" spans="1:12" ht="48" x14ac:dyDescent="0.3">
      <c r="A162" s="34" t="s">
        <v>151</v>
      </c>
      <c r="B162" s="24"/>
      <c r="C162" s="24"/>
      <c r="D162" s="40" t="s">
        <v>231</v>
      </c>
      <c r="E162" s="13"/>
      <c r="F162" s="13">
        <f>202.5</f>
        <v>202.5</v>
      </c>
      <c r="G162" s="13" t="s">
        <v>115</v>
      </c>
      <c r="H162" s="76">
        <f>127446/F162</f>
        <v>629.36296296296291</v>
      </c>
      <c r="I162" s="65">
        <f>F162*H162</f>
        <v>127445.99999999999</v>
      </c>
      <c r="J162" s="13" t="s">
        <v>264</v>
      </c>
      <c r="L162" s="2"/>
    </row>
    <row r="163" spans="1:12" ht="48" x14ac:dyDescent="0.3">
      <c r="A163" s="24"/>
      <c r="B163" s="24"/>
      <c r="C163" s="24"/>
      <c r="D163" s="40" t="s">
        <v>135</v>
      </c>
      <c r="E163" s="41"/>
      <c r="F163" s="41"/>
      <c r="G163" s="13" t="s">
        <v>136</v>
      </c>
      <c r="H163" s="41"/>
      <c r="I163" s="64"/>
      <c r="J163" s="13"/>
      <c r="L163" s="2"/>
    </row>
    <row r="164" spans="1:12" ht="32.25" x14ac:dyDescent="0.3">
      <c r="A164" s="24"/>
      <c r="B164" s="24"/>
      <c r="C164" s="24"/>
      <c r="D164" s="40" t="s">
        <v>168</v>
      </c>
      <c r="E164" s="13"/>
      <c r="F164" s="13">
        <f>10</f>
        <v>10</v>
      </c>
      <c r="G164" s="13" t="s">
        <v>137</v>
      </c>
      <c r="H164" s="33">
        <f>(458)/F164</f>
        <v>45.8</v>
      </c>
      <c r="I164" s="65">
        <f t="shared" ref="I164:I166" si="19">F164*H164</f>
        <v>458</v>
      </c>
      <c r="J164" s="13" t="s">
        <v>167</v>
      </c>
      <c r="L164" s="2"/>
    </row>
    <row r="165" spans="1:12" ht="32.25" x14ac:dyDescent="0.3">
      <c r="A165" s="24"/>
      <c r="B165" s="24"/>
      <c r="C165" s="24"/>
      <c r="D165" s="40" t="s">
        <v>169</v>
      </c>
      <c r="E165" s="13"/>
      <c r="F165" s="13">
        <f>85+100+40</f>
        <v>225</v>
      </c>
      <c r="G165" s="13" t="s">
        <v>137</v>
      </c>
      <c r="H165" s="33">
        <f>(3542+4583+1833)/F165</f>
        <v>44.257777777777775</v>
      </c>
      <c r="I165" s="65">
        <f t="shared" si="19"/>
        <v>9958</v>
      </c>
      <c r="J165" s="13" t="s">
        <v>167</v>
      </c>
      <c r="L165" s="2"/>
    </row>
    <row r="166" spans="1:12" ht="63.75" x14ac:dyDescent="0.3">
      <c r="A166" s="24"/>
      <c r="B166" s="24"/>
      <c r="C166" s="24"/>
      <c r="D166" s="40" t="s">
        <v>223</v>
      </c>
      <c r="E166" s="13"/>
      <c r="F166" s="13">
        <v>7.0000000000000007E-2</v>
      </c>
      <c r="G166" s="13" t="s">
        <v>224</v>
      </c>
      <c r="H166" s="75">
        <f>3706.4/F166</f>
        <v>52948.571428571428</v>
      </c>
      <c r="I166" s="65">
        <f t="shared" si="19"/>
        <v>3706.4</v>
      </c>
      <c r="J166" s="13" t="s">
        <v>122</v>
      </c>
      <c r="L166" s="2"/>
    </row>
    <row r="167" spans="1:12" ht="32.25" x14ac:dyDescent="0.3">
      <c r="A167" s="24"/>
      <c r="B167" s="24"/>
      <c r="C167" s="24"/>
      <c r="D167" s="40" t="s">
        <v>191</v>
      </c>
      <c r="E167" s="31"/>
      <c r="F167" s="31">
        <f>10</f>
        <v>10</v>
      </c>
      <c r="G167" s="13" t="s">
        <v>177</v>
      </c>
      <c r="H167" s="57">
        <f>3044.6/F167</f>
        <v>304.45999999999998</v>
      </c>
      <c r="I167" s="66">
        <f>F167*H167</f>
        <v>3044.6</v>
      </c>
      <c r="J167" s="54" t="s">
        <v>119</v>
      </c>
      <c r="L167" s="2"/>
    </row>
    <row r="168" spans="1:12" ht="18.75" x14ac:dyDescent="0.3">
      <c r="A168" s="34"/>
      <c r="B168" s="24"/>
      <c r="C168" s="24"/>
      <c r="D168" s="40" t="s">
        <v>225</v>
      </c>
      <c r="E168" s="13"/>
      <c r="F168" s="13">
        <f>1+1</f>
        <v>2</v>
      </c>
      <c r="G168" s="38" t="s">
        <v>31</v>
      </c>
      <c r="H168" s="13">
        <f>(2226.2+2226.2)/F168</f>
        <v>2226.1999999999998</v>
      </c>
      <c r="I168" s="62">
        <f>F168*H168</f>
        <v>4452.3999999999996</v>
      </c>
      <c r="J168" s="13"/>
      <c r="L168" s="2"/>
    </row>
    <row r="169" spans="1:12" ht="18.75" x14ac:dyDescent="0.3">
      <c r="A169" s="24"/>
      <c r="B169" s="24"/>
      <c r="C169" s="24"/>
      <c r="D169" s="40" t="s">
        <v>226</v>
      </c>
      <c r="E169" s="41"/>
      <c r="F169" s="41">
        <f>1+1</f>
        <v>2</v>
      </c>
      <c r="G169" s="38" t="s">
        <v>31</v>
      </c>
      <c r="H169" s="41">
        <f>(6667.2+4510.8)/F169</f>
        <v>5589</v>
      </c>
      <c r="I169" s="61">
        <f>F169*H169</f>
        <v>11178</v>
      </c>
      <c r="J169" s="54" t="s">
        <v>119</v>
      </c>
      <c r="L169" s="2"/>
    </row>
    <row r="170" spans="1:12" ht="31.5" x14ac:dyDescent="0.3">
      <c r="A170" s="34"/>
      <c r="B170" s="14"/>
      <c r="C170" s="14"/>
      <c r="D170" s="43" t="s">
        <v>232</v>
      </c>
      <c r="E170" s="14"/>
      <c r="F170" s="14">
        <v>18</v>
      </c>
      <c r="G170" s="38" t="s">
        <v>115</v>
      </c>
      <c r="H170" s="55">
        <f>2359.6/F170</f>
        <v>131.08888888888887</v>
      </c>
      <c r="I170" s="67">
        <f>F170*H170</f>
        <v>2359.6</v>
      </c>
      <c r="J170" s="54" t="s">
        <v>119</v>
      </c>
      <c r="L170" s="2"/>
    </row>
    <row r="171" spans="1:12" ht="47.25" x14ac:dyDescent="0.3">
      <c r="A171" s="58"/>
      <c r="B171" s="54"/>
      <c r="C171" s="54"/>
      <c r="D171" s="43" t="s">
        <v>181</v>
      </c>
      <c r="E171" s="14"/>
      <c r="F171" s="14">
        <f>330+50</f>
        <v>380</v>
      </c>
      <c r="G171" s="14" t="s">
        <v>115</v>
      </c>
      <c r="H171" s="55">
        <f>(162428.8+24011)/F171</f>
        <v>490.63105263157894</v>
      </c>
      <c r="I171" s="68">
        <f t="shared" ref="I171:I172" si="20">F171*H171</f>
        <v>186439.8</v>
      </c>
      <c r="J171" s="13" t="s">
        <v>122</v>
      </c>
      <c r="L171" s="2"/>
    </row>
    <row r="172" spans="1:12" ht="18.75" x14ac:dyDescent="0.3">
      <c r="A172" s="58"/>
      <c r="B172" s="54"/>
      <c r="C172" s="54"/>
      <c r="D172" s="43" t="s">
        <v>182</v>
      </c>
      <c r="E172" s="14"/>
      <c r="F172" s="14">
        <f>120+13</f>
        <v>133</v>
      </c>
      <c r="G172" s="14" t="s">
        <v>31</v>
      </c>
      <c r="H172" s="55">
        <f>(13212.2+3204.6)/F172</f>
        <v>123.43458646616541</v>
      </c>
      <c r="I172" s="68">
        <f t="shared" si="20"/>
        <v>16416.8</v>
      </c>
      <c r="J172" s="13" t="s">
        <v>122</v>
      </c>
      <c r="L172" s="2"/>
    </row>
    <row r="173" spans="1:12" ht="18.75" x14ac:dyDescent="0.3">
      <c r="A173" s="58"/>
      <c r="B173" s="54"/>
      <c r="C173" s="54"/>
      <c r="D173" s="51" t="s">
        <v>241</v>
      </c>
      <c r="E173" s="54"/>
      <c r="F173" s="54">
        <f>12</f>
        <v>12</v>
      </c>
      <c r="G173" s="53" t="s">
        <v>242</v>
      </c>
      <c r="H173" s="59">
        <f>2565.2/F173</f>
        <v>213.76666666666665</v>
      </c>
      <c r="I173" s="69">
        <f t="shared" ref="I173:I179" si="21">F173*H173</f>
        <v>2565.1999999999998</v>
      </c>
      <c r="J173" s="13" t="s">
        <v>122</v>
      </c>
      <c r="L173" s="2"/>
    </row>
    <row r="174" spans="1:12" ht="31.5" x14ac:dyDescent="0.3">
      <c r="A174" s="58"/>
      <c r="B174" s="54"/>
      <c r="C174" s="54"/>
      <c r="D174" s="51" t="s">
        <v>184</v>
      </c>
      <c r="E174" s="54"/>
      <c r="F174" s="54">
        <f>3.6</f>
        <v>3.6</v>
      </c>
      <c r="G174" s="53" t="s">
        <v>136</v>
      </c>
      <c r="H174" s="59">
        <f>2196.4/F174</f>
        <v>610.11111111111109</v>
      </c>
      <c r="I174" s="69">
        <f t="shared" si="21"/>
        <v>2196.4</v>
      </c>
      <c r="J174" s="13" t="s">
        <v>122</v>
      </c>
      <c r="L174" s="2"/>
    </row>
    <row r="175" spans="1:12" ht="18.75" x14ac:dyDescent="0.3">
      <c r="A175" s="58"/>
      <c r="B175" s="54"/>
      <c r="C175" s="54"/>
      <c r="D175" s="51" t="s">
        <v>237</v>
      </c>
      <c r="E175" s="54"/>
      <c r="F175" s="54">
        <v>30</v>
      </c>
      <c r="G175" s="53" t="s">
        <v>238</v>
      </c>
      <c r="H175" s="59">
        <f>2091.2/F175</f>
        <v>69.706666666666663</v>
      </c>
      <c r="I175" s="69">
        <f t="shared" si="21"/>
        <v>2091.1999999999998</v>
      </c>
      <c r="J175" s="13" t="s">
        <v>122</v>
      </c>
      <c r="L175" s="2"/>
    </row>
    <row r="176" spans="1:12" ht="18.75" x14ac:dyDescent="0.3">
      <c r="A176" s="58"/>
      <c r="B176" s="54"/>
      <c r="C176" s="54"/>
      <c r="D176" s="51" t="s">
        <v>239</v>
      </c>
      <c r="E176" s="54"/>
      <c r="F176" s="54">
        <v>30</v>
      </c>
      <c r="G176" s="53" t="s">
        <v>31</v>
      </c>
      <c r="H176" s="59">
        <f>4693.8/F176</f>
        <v>156.46</v>
      </c>
      <c r="I176" s="69">
        <f t="shared" si="21"/>
        <v>4693.8</v>
      </c>
      <c r="J176" s="13" t="s">
        <v>122</v>
      </c>
      <c r="L176" s="2"/>
    </row>
    <row r="177" spans="1:12" ht="18.75" x14ac:dyDescent="0.3">
      <c r="A177" s="58"/>
      <c r="B177" s="54"/>
      <c r="C177" s="54"/>
      <c r="D177" s="51" t="s">
        <v>185</v>
      </c>
      <c r="E177" s="54"/>
      <c r="F177" s="54">
        <f>300</f>
        <v>300</v>
      </c>
      <c r="G177" s="53" t="s">
        <v>115</v>
      </c>
      <c r="H177" s="59">
        <f>7082/F177</f>
        <v>23.606666666666666</v>
      </c>
      <c r="I177" s="69">
        <f t="shared" si="21"/>
        <v>7082</v>
      </c>
      <c r="J177" s="13" t="s">
        <v>122</v>
      </c>
      <c r="L177" s="2"/>
    </row>
    <row r="178" spans="1:12" ht="18.75" x14ac:dyDescent="0.3">
      <c r="A178" s="58"/>
      <c r="B178" s="54"/>
      <c r="C178" s="54"/>
      <c r="D178" s="51" t="s">
        <v>243</v>
      </c>
      <c r="E178" s="54"/>
      <c r="F178" s="54">
        <v>10</v>
      </c>
      <c r="G178" s="53" t="s">
        <v>115</v>
      </c>
      <c r="H178" s="59">
        <f>19955.6/F178</f>
        <v>1995.56</v>
      </c>
      <c r="I178" s="69">
        <f t="shared" si="21"/>
        <v>19955.599999999999</v>
      </c>
      <c r="J178" s="13" t="s">
        <v>122</v>
      </c>
      <c r="L178" s="2"/>
    </row>
    <row r="179" spans="1:12" ht="31.5" x14ac:dyDescent="0.3">
      <c r="A179" s="58"/>
      <c r="B179" s="54"/>
      <c r="C179" s="54"/>
      <c r="D179" s="51" t="s">
        <v>244</v>
      </c>
      <c r="E179" s="54"/>
      <c r="F179" s="54">
        <f>10</f>
        <v>10</v>
      </c>
      <c r="G179" s="53" t="s">
        <v>115</v>
      </c>
      <c r="H179" s="59">
        <f>6352/F179</f>
        <v>635.20000000000005</v>
      </c>
      <c r="I179" s="69">
        <f t="shared" si="21"/>
        <v>6352</v>
      </c>
      <c r="J179" s="13" t="s">
        <v>122</v>
      </c>
      <c r="L179" s="2"/>
    </row>
    <row r="180" spans="1:12" ht="63" x14ac:dyDescent="0.25">
      <c r="A180" s="50"/>
      <c r="B180" s="50"/>
      <c r="C180" s="50"/>
      <c r="D180" s="51" t="s">
        <v>164</v>
      </c>
      <c r="E180" s="52"/>
      <c r="F180" s="52">
        <f>3.74</f>
        <v>3.74</v>
      </c>
      <c r="G180" s="53" t="s">
        <v>148</v>
      </c>
      <c r="H180" s="56">
        <f>2214.6/F180</f>
        <v>592.13903743315507</v>
      </c>
      <c r="I180" s="70">
        <f t="shared" ref="I180" si="22">F180*H180</f>
        <v>2214.6</v>
      </c>
      <c r="J180" s="54" t="s">
        <v>122</v>
      </c>
      <c r="K180" s="2"/>
      <c r="L180" s="2"/>
    </row>
    <row r="181" spans="1:12" ht="31.5" x14ac:dyDescent="0.25">
      <c r="A181" s="50"/>
      <c r="B181" s="50"/>
      <c r="C181" s="50"/>
      <c r="D181" s="51" t="s">
        <v>245</v>
      </c>
      <c r="E181" s="52"/>
      <c r="F181" s="52">
        <f>19.2</f>
        <v>19.2</v>
      </c>
      <c r="G181" s="53" t="s">
        <v>115</v>
      </c>
      <c r="H181" s="56">
        <f>43700/F181</f>
        <v>2276.041666666667</v>
      </c>
      <c r="I181" s="70">
        <f t="shared" ref="I181:I187" si="23">F181*H181</f>
        <v>43700.000000000007</v>
      </c>
      <c r="J181" s="13" t="s">
        <v>122</v>
      </c>
      <c r="K181" s="2"/>
      <c r="L181" s="2"/>
    </row>
    <row r="182" spans="1:12" ht="47.25" x14ac:dyDescent="0.25">
      <c r="A182" s="50"/>
      <c r="B182" s="50"/>
      <c r="C182" s="50"/>
      <c r="D182" s="51" t="s">
        <v>246</v>
      </c>
      <c r="E182" s="52"/>
      <c r="F182" s="52">
        <f>20</f>
        <v>20</v>
      </c>
      <c r="G182" s="53" t="s">
        <v>115</v>
      </c>
      <c r="H182" s="56">
        <f>4325.6/F182</f>
        <v>216.28000000000003</v>
      </c>
      <c r="I182" s="70">
        <f t="shared" si="23"/>
        <v>4325.6000000000004</v>
      </c>
      <c r="J182" s="13" t="s">
        <v>122</v>
      </c>
      <c r="K182" s="2"/>
      <c r="L182" s="2"/>
    </row>
    <row r="183" spans="1:12" ht="15.75" x14ac:dyDescent="0.25">
      <c r="A183" s="50"/>
      <c r="B183" s="50"/>
      <c r="C183" s="50"/>
      <c r="D183" s="51" t="s">
        <v>200</v>
      </c>
      <c r="E183" s="52"/>
      <c r="F183" s="52">
        <v>1</v>
      </c>
      <c r="G183" s="53" t="s">
        <v>31</v>
      </c>
      <c r="H183" s="52">
        <f>72000/F183</f>
        <v>72000</v>
      </c>
      <c r="I183" s="70">
        <f t="shared" si="23"/>
        <v>72000</v>
      </c>
      <c r="J183" s="54" t="s">
        <v>119</v>
      </c>
      <c r="K183" s="2"/>
      <c r="L183" s="2"/>
    </row>
    <row r="184" spans="1:12" ht="31.5" x14ac:dyDescent="0.25">
      <c r="A184" s="50"/>
      <c r="B184" s="50"/>
      <c r="C184" s="50"/>
      <c r="D184" s="51" t="s">
        <v>187</v>
      </c>
      <c r="E184" s="52"/>
      <c r="F184" s="52">
        <f>1+1+1+1+1+1+1+1+1+1+1+1</f>
        <v>12</v>
      </c>
      <c r="G184" s="53" t="s">
        <v>175</v>
      </c>
      <c r="H184" s="56">
        <f>(15715+15715+15715+15715+15715+15715+15715+15715+15715+15715+15715+15715)/F184</f>
        <v>15715</v>
      </c>
      <c r="I184" s="70">
        <f t="shared" si="23"/>
        <v>188580</v>
      </c>
      <c r="J184" s="54" t="s">
        <v>119</v>
      </c>
      <c r="K184" s="2"/>
      <c r="L184" s="2"/>
    </row>
    <row r="185" spans="1:12" ht="47.25" x14ac:dyDescent="0.25">
      <c r="A185" s="50"/>
      <c r="B185" s="50"/>
      <c r="C185" s="50"/>
      <c r="D185" s="51" t="s">
        <v>227</v>
      </c>
      <c r="E185" s="52"/>
      <c r="F185" s="52">
        <v>1</v>
      </c>
      <c r="G185" s="53" t="s">
        <v>145</v>
      </c>
      <c r="H185" s="56">
        <f>14686/F185</f>
        <v>14686</v>
      </c>
      <c r="I185" s="70">
        <f t="shared" si="23"/>
        <v>14686</v>
      </c>
      <c r="J185" s="54" t="s">
        <v>119</v>
      </c>
      <c r="K185" s="2"/>
      <c r="L185" s="2"/>
    </row>
    <row r="186" spans="1:12" ht="15.75" x14ac:dyDescent="0.25">
      <c r="A186" s="50"/>
      <c r="B186" s="50"/>
      <c r="C186" s="50"/>
      <c r="D186" s="51" t="s">
        <v>201</v>
      </c>
      <c r="E186" s="52"/>
      <c r="F186" s="52">
        <v>1</v>
      </c>
      <c r="G186" s="53" t="s">
        <v>145</v>
      </c>
      <c r="H186" s="56">
        <f>62541/F186</f>
        <v>62541</v>
      </c>
      <c r="I186" s="70">
        <f t="shared" si="23"/>
        <v>62541</v>
      </c>
      <c r="J186" s="54" t="s">
        <v>119</v>
      </c>
      <c r="K186" s="2"/>
      <c r="L186" s="2"/>
    </row>
    <row r="187" spans="1:12" ht="15.75" x14ac:dyDescent="0.25">
      <c r="A187" s="50" t="s">
        <v>251</v>
      </c>
      <c r="B187" s="50"/>
      <c r="C187" s="50"/>
      <c r="D187" s="51" t="s">
        <v>233</v>
      </c>
      <c r="E187" s="52"/>
      <c r="F187" s="52">
        <v>12</v>
      </c>
      <c r="G187" s="53" t="s">
        <v>31</v>
      </c>
      <c r="H187" s="56">
        <f>180000/F187</f>
        <v>15000</v>
      </c>
      <c r="I187" s="70">
        <f t="shared" si="23"/>
        <v>180000</v>
      </c>
      <c r="J187" s="54" t="s">
        <v>121</v>
      </c>
      <c r="K187" s="2"/>
      <c r="L187" s="2"/>
    </row>
    <row r="188" spans="1:12" ht="15.75" x14ac:dyDescent="0.25">
      <c r="A188" s="50"/>
      <c r="B188" s="50"/>
      <c r="C188" s="50"/>
      <c r="D188" s="51" t="s">
        <v>252</v>
      </c>
      <c r="E188" s="52"/>
      <c r="F188" s="52">
        <f>1</f>
        <v>1</v>
      </c>
      <c r="G188" s="53" t="s">
        <v>31</v>
      </c>
      <c r="H188" s="56">
        <f>58650/F188</f>
        <v>58650</v>
      </c>
      <c r="I188" s="70">
        <f>F188*H188</f>
        <v>58650</v>
      </c>
      <c r="J188" s="13" t="s">
        <v>122</v>
      </c>
      <c r="K188" s="2"/>
      <c r="L188" s="2"/>
    </row>
    <row r="189" spans="1:12" ht="15.75" x14ac:dyDescent="0.25">
      <c r="A189" s="50"/>
      <c r="B189" s="50"/>
      <c r="C189" s="50"/>
      <c r="D189" s="51"/>
      <c r="E189" s="52"/>
      <c r="F189" s="52"/>
      <c r="G189" s="53"/>
      <c r="H189" s="56"/>
      <c r="I189" s="70">
        <f>SUM(I162:I188)</f>
        <v>1037093</v>
      </c>
      <c r="J189" s="54"/>
      <c r="K189" s="2"/>
      <c r="L189" s="2"/>
    </row>
    <row r="190" spans="1:12" ht="15.75" x14ac:dyDescent="0.25">
      <c r="A190" s="77" t="s">
        <v>247</v>
      </c>
      <c r="B190" s="50"/>
      <c r="C190" s="50"/>
      <c r="D190" s="51"/>
      <c r="E190" s="52"/>
      <c r="F190" s="52"/>
      <c r="G190" s="53"/>
      <c r="H190" s="56"/>
      <c r="I190" s="70">
        <f>I18+I24+I25+I28+I29+I38+I39+I40+I41+I42+I44+I45+I46+I47+I48+I49+I50+I51+I52+I53+I54+I57+I58+I59+I60+I61+I63+I64+I65+I66+I67+I68+I71+I72+I83+I85+I86+I87+I88+I89+I92+I93+I97+I98+I99+I100+I103+I104+I105+I106+I107+I108+I109+I110+I111+I114+I115+I122+I139+I140+I141+I143+I162+I164+I165+I166+I167+I168+I169+I170+I171+I172+I173+I174+I175+I176+I177+I178+I179+I180+I181+I182+I183+I184+I185+I186+I187+I188</f>
        <v>4871129.5999999996</v>
      </c>
      <c r="J190" s="54"/>
      <c r="K190" s="2"/>
      <c r="L190" s="72"/>
    </row>
    <row r="191" spans="1:12" ht="15.75" x14ac:dyDescent="0.25">
      <c r="A191" s="50"/>
      <c r="B191" s="50"/>
      <c r="C191" s="50"/>
      <c r="D191" s="51"/>
      <c r="E191" s="52"/>
      <c r="F191" s="52"/>
      <c r="G191" s="53"/>
      <c r="H191" s="56"/>
      <c r="I191" s="70">
        <f>I36+I75+I94+I118+I124+I133+I147+I151+I157+I189</f>
        <v>6019703.4000000004</v>
      </c>
      <c r="J191" s="54"/>
      <c r="K191" s="2"/>
      <c r="L191" s="2"/>
    </row>
    <row r="192" spans="1:12" ht="99.75" customHeight="1" x14ac:dyDescent="0.25">
      <c r="A192" s="81" t="s">
        <v>107</v>
      </c>
      <c r="B192" s="82"/>
      <c r="C192" s="82"/>
      <c r="D192" s="82"/>
      <c r="E192" s="82"/>
      <c r="F192" s="82"/>
      <c r="G192" s="82"/>
      <c r="H192" s="82"/>
      <c r="I192" s="82"/>
      <c r="J192" s="83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72"/>
      <c r="H195" s="2"/>
      <c r="I195" s="7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72"/>
      <c r="J197" s="80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</sheetData>
  <mergeCells count="16">
    <mergeCell ref="A192:J192"/>
    <mergeCell ref="A2:J2"/>
    <mergeCell ref="A161:G161"/>
    <mergeCell ref="H161:J161"/>
    <mergeCell ref="I1:J1"/>
    <mergeCell ref="A119:G119"/>
    <mergeCell ref="A134:G134"/>
    <mergeCell ref="A158:G158"/>
    <mergeCell ref="A37:G37"/>
    <mergeCell ref="A15:G15"/>
    <mergeCell ref="A4:G4"/>
    <mergeCell ref="A148:G148"/>
    <mergeCell ref="A76:G76"/>
    <mergeCell ref="A95:G95"/>
    <mergeCell ref="A125:G125"/>
    <mergeCell ref="A152:G152"/>
  </mergeCells>
  <pageMargins left="0.78740157480314965" right="0.70866141732283472" top="0" bottom="0.59055118110236227" header="0" footer="0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2025-01-30T13:52:46Z</cp:lastPrinted>
  <dcterms:created xsi:type="dcterms:W3CDTF">2017-05-29T12:14:13Z</dcterms:created>
  <dcterms:modified xsi:type="dcterms:W3CDTF">2025-03-14T04:56:03Z</dcterms:modified>
</cp:coreProperties>
</file>