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1" i="1" l="1"/>
  <c r="F77" i="1" l="1"/>
  <c r="H77" i="1" s="1"/>
  <c r="F7" i="1"/>
  <c r="H7" i="1" s="1"/>
  <c r="F122" i="1"/>
  <c r="H122" i="1" s="1"/>
  <c r="F100" i="1"/>
  <c r="H100" i="1" s="1"/>
  <c r="F98" i="1"/>
  <c r="H98" i="1" s="1"/>
  <c r="F86" i="1"/>
  <c r="H86" i="1" s="1"/>
  <c r="F87" i="1"/>
  <c r="H87" i="1" s="1"/>
  <c r="F57" i="1"/>
  <c r="H57" i="1" s="1"/>
  <c r="I77" i="1" l="1"/>
  <c r="H44" i="1"/>
  <c r="I44" i="1" s="1"/>
  <c r="F43" i="1"/>
  <c r="H43" i="1" s="1"/>
  <c r="F42" i="1"/>
  <c r="F41" i="1"/>
  <c r="H41" i="1" s="1"/>
  <c r="H40" i="1"/>
  <c r="H42" i="1" l="1"/>
  <c r="I42" i="1" s="1"/>
  <c r="I43" i="1"/>
  <c r="H15" i="1"/>
  <c r="I15" i="1" s="1"/>
  <c r="I57" i="1"/>
  <c r="F80" i="1" l="1"/>
  <c r="H80" i="1" s="1"/>
  <c r="F79" i="1"/>
  <c r="H79" i="1" s="1"/>
  <c r="F78" i="1"/>
  <c r="H78" i="1" s="1"/>
  <c r="F97" i="1" l="1"/>
  <c r="H97" i="1" s="1"/>
  <c r="H128" i="1"/>
  <c r="H124" i="1"/>
  <c r="H8" i="1"/>
  <c r="I8" i="1" s="1"/>
  <c r="F62" i="1"/>
  <c r="H62" i="1" s="1"/>
  <c r="F61" i="1"/>
  <c r="H61" i="1" s="1"/>
  <c r="F60" i="1"/>
  <c r="H60" i="1" s="1"/>
  <c r="H115" i="1" l="1"/>
  <c r="H126" i="1"/>
  <c r="F6" i="1"/>
  <c r="H6" i="1" s="1"/>
  <c r="F127" i="1"/>
  <c r="H127" i="1" s="1"/>
  <c r="F120" i="1"/>
  <c r="H120" i="1" s="1"/>
  <c r="F121" i="1"/>
  <c r="H121" i="1" s="1"/>
  <c r="I6" i="1" l="1"/>
  <c r="I86" i="1"/>
  <c r="I115" i="1"/>
  <c r="I41" i="1" l="1"/>
  <c r="I80" i="1"/>
  <c r="I128" i="1" l="1"/>
  <c r="I127" i="1"/>
  <c r="I126" i="1"/>
  <c r="F31" i="1"/>
  <c r="H31" i="1" s="1"/>
  <c r="F64" i="1"/>
  <c r="H64" i="1" s="1"/>
  <c r="F63" i="1"/>
  <c r="H63" i="1" s="1"/>
  <c r="F59" i="1"/>
  <c r="H59" i="1" s="1"/>
  <c r="I124" i="1"/>
  <c r="I31" i="1" l="1"/>
  <c r="I38" i="1" l="1"/>
  <c r="I122" i="1"/>
  <c r="I62" i="1"/>
  <c r="I61" i="1"/>
  <c r="F58" i="1"/>
  <c r="H58" i="1" s="1"/>
  <c r="I120" i="1"/>
  <c r="I60" i="1" l="1"/>
  <c r="I121" i="1"/>
  <c r="I130" i="1" s="1"/>
  <c r="I75" i="1" l="1"/>
  <c r="I7" i="1"/>
  <c r="I64" i="1"/>
  <c r="I19" i="1" l="1"/>
  <c r="I114" i="1"/>
  <c r="I87" i="1"/>
  <c r="I108" i="1"/>
  <c r="I107" i="1"/>
  <c r="I112" i="1" l="1"/>
  <c r="I92" i="1"/>
  <c r="I40" i="1"/>
  <c r="I54" i="1" l="1"/>
  <c r="I79" i="1"/>
  <c r="I78" i="1"/>
  <c r="I97" i="1"/>
  <c r="I63" i="1"/>
  <c r="I84" i="1" l="1"/>
  <c r="I100" i="1"/>
  <c r="I116" i="1"/>
  <c r="I117" i="1" s="1"/>
  <c r="I58" i="1" l="1"/>
  <c r="I59" i="1" l="1"/>
  <c r="I69" i="1" s="1"/>
  <c r="I98" i="1"/>
  <c r="I101" i="1" s="1"/>
  <c r="I104" i="1" l="1"/>
  <c r="I105" i="1" s="1"/>
  <c r="I132" i="1" s="1"/>
</calcChain>
</file>

<file path=xl/sharedStrings.xml><?xml version="1.0" encoding="utf-8"?>
<sst xmlns="http://schemas.openxmlformats.org/spreadsheetml/2006/main" count="476" uniqueCount="198">
  <si>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</si>
  <si>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</si>
  <si>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</si>
  <si>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</si>
  <si>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</si>
  <si>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</si>
  <si>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</si>
  <si>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</si>
  <si>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</si>
  <si>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</si>
  <si>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</si>
  <si>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</si>
  <si>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</si>
  <si>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</si>
  <si>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</si>
  <si>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</si>
  <si>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</si>
  <si>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</si>
  <si>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</si>
  <si>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</si>
  <si>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</si>
  <si>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</si>
  <si>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</si>
  <si>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</si>
  <si>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</si>
  <si>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</si>
  <si>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</si>
  <si>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</si>
  <si>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</si>
  <si>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</si>
  <si>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</si>
  <si>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</si>
  <si>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</si>
  <si>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</si>
  <si>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</si>
  <si>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</si>
  <si>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</si>
  <si>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</si>
  <si>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</si>
  <si>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</si>
  <si>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</si>
  <si>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</si>
  <si>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</si>
  <si>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</si>
  <si>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</si>
  <si>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</si>
  <si>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</si>
  <si>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</si>
  <si>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</si>
  <si>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</si>
  <si>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</si>
  <si>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</si>
  <si>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</si>
  <si>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</si>
  <si>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</si>
  <si>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</si>
  <si>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</si>
  <si>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</si>
  <si>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</si>
  <si>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</si>
  <si>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</si>
  <si>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</si>
  <si>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</si>
  <si>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</si>
  <si>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</si>
  <si>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</si>
  <si>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</si>
  <si>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</si>
  <si>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</si>
  <si>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</si>
  <si>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</si>
  <si>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</si>
  <si>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</si>
  <si>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</si>
  <si>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</si>
  <si>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</si>
  <si>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</si>
  <si>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</si>
  <si>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</si>
  <si>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</si>
  <si>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</si>
  <si>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</si>
  <si>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</si>
  <si>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</si>
  <si>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</si>
  <si>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</si>
  <si>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</si>
  <si>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</si>
  <si>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</si>
  <si>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</si>
  <si>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</si>
  <si>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</si>
  <si>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</si>
  <si>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</si>
  <si>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</si>
  <si>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</si>
  <si>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</si>
  <si>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</si>
  <si>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</si>
  <si>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</si>
  <si>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</si>
  <si>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</si>
  <si>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</si>
  <si>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</si>
  <si>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</si>
  <si>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</si>
  <si>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</si>
  <si>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</si>
  <si>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</si>
  <si>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</si>
  <si>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</si>
  <si>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</si>
  <si>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</si>
  <si>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</si>
  <si>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</si>
  <si>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</si>
  <si>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</si>
  <si>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</si>
  <si>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</si>
  <si>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</si>
  <si>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</si>
  <si>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</si>
  <si>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</si>
  <si>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</si>
  <si>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</si>
  <si>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</si>
  <si>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</si>
  <si>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</si>
  <si>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</si>
  <si>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</si>
  <si>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</si>
  <si>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</si>
  <si>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</si>
  <si>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</si>
  <si>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</si>
  <si>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</si>
  <si>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</si>
  <si>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</si>
  <si>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</si>
  <si>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</si>
  <si>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</si>
  <si>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</si>
  <si>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</si>
  <si>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</si>
  <si>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благоустройство</t>
  </si>
  <si>
    <t>1 квартал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</si>
  <si>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</si>
  <si>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</si>
  <si>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</si>
  <si>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</si>
  <si>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</si>
  <si>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</si>
  <si>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</si>
  <si>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</si>
  <si>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ламп накаливания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</si>
  <si>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</si>
  <si>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</si>
  <si>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</si>
  <si>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межпанельных швов без вскрытия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</si>
  <si>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</si>
  <si>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</si>
  <si>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</si>
  <si>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</si>
  <si>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</si>
  <si>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</si>
  <si>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 xml:space="preserve">восстановление и окраска элементов крылец;замена плиток </t>
  </si>
  <si>
    <t xml:space="preserve"> смена кранов на шаровые краны диам.15,20мм</t>
  </si>
  <si>
    <t>чистка кровли от снега</t>
  </si>
  <si>
    <t xml:space="preserve"> смена кранов на шаровые краны диам.15,25мм</t>
  </si>
  <si>
    <t>герметизация отверстий на металлических листах кровельного покрытия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</si>
  <si>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</si>
  <si>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</si>
  <si>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</si>
  <si>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простая масляная окраска ранее окрашенных бордюров </t>
  </si>
  <si>
    <t>окраска масляными составами ранее окрашенных металлических решеток и оград без рельефа за 1 раз</t>
  </si>
  <si>
    <t>вывоз мусора контейнером с утилизацией 5м3(3т)</t>
  </si>
  <si>
    <t>окраска перхлорвиниловыми красками</t>
  </si>
  <si>
    <t>ремонт мест просадок бетоном</t>
  </si>
  <si>
    <t>заделка отверстий в перекрытиях</t>
  </si>
  <si>
    <t>справка о техническом состоянии здания</t>
  </si>
  <si>
    <t>смена кранов на шаровые краны диам.20,32,40мм</t>
  </si>
  <si>
    <t xml:space="preserve">
Отчет о выполнении работ по текущему ремонту общего имущества 
в многоквартирном доме по адресу: г.Щёлково, ул.Шмидта, дом 19  на 2024 г.
</t>
  </si>
  <si>
    <t>Текущий ремонт</t>
  </si>
  <si>
    <t>валка деревьев в городских условиях диаметром более 300мм</t>
  </si>
  <si>
    <t>разборка покрытий оснований</t>
  </si>
  <si>
    <t>окраска газовых труб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</si>
  <si>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</si>
  <si>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трубпроводов водоснабжения и отопления из полипропиленовых труб:диам. 20мм</t>
  </si>
  <si>
    <t>вывоз веток ,листвы и порубочных остатков</t>
  </si>
  <si>
    <t>прокладка внутренних трубпроводов водоснабжения и отопления из полипропиленовых труб:диам. 25мм</t>
  </si>
  <si>
    <t>проверка на прогрев отопительных приборов с регулировкой</t>
  </si>
  <si>
    <t>смена жалюзийных решеток</t>
  </si>
  <si>
    <t>ремонт дверных полотен со сменой брусков обвязки вертикальных с числом сопряжений 2</t>
  </si>
  <si>
    <t>брусок</t>
  </si>
  <si>
    <t>смена филенок в дверных полотнах:фанерных</t>
  </si>
  <si>
    <t>смена дверных приборов:шпингалеты</t>
  </si>
  <si>
    <t>смена дверных приборов:петли</t>
  </si>
  <si>
    <t>установка рейки-добора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</si>
</sst>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topLeftCell="D127" zoomScale="91" zoomScaleNormal="91" workbookViewId="0">
      <selection activeCell="E134" sqref="E134:J13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5" t="s">
        <v>96</v>
      </c>
      <c r="J1" s="75"/>
    </row>
    <row r="2" spans="1:12" ht="70.5" customHeight="1" x14ac:dyDescent="0.25">
      <c r="A2" s="70" t="s">
        <v>181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6" t="s">
        <v>87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159</v>
      </c>
      <c r="E5" s="41" t="s">
        <v>137</v>
      </c>
      <c r="F5" s="41" t="s">
        <v>137</v>
      </c>
      <c r="G5" s="13" t="s">
        <v>112</v>
      </c>
      <c r="H5" s="41" t="s">
        <v>137</v>
      </c>
      <c r="I5" s="41" t="s">
        <v>137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/>
      <c r="F6" s="41">
        <f>1</f>
        <v>1</v>
      </c>
      <c r="G6" s="13" t="s">
        <v>141</v>
      </c>
      <c r="H6" s="41">
        <f>10000/F6</f>
        <v>10000</v>
      </c>
      <c r="I6" s="63">
        <f>F6*H6</f>
        <v>10000</v>
      </c>
      <c r="J6" s="13" t="s">
        <v>145</v>
      </c>
      <c r="K6" s="2"/>
      <c r="L6" s="2"/>
    </row>
    <row r="7" spans="1:12" ht="18.75" x14ac:dyDescent="0.3">
      <c r="A7" s="6"/>
      <c r="B7" s="5"/>
      <c r="C7" s="4"/>
      <c r="D7" s="15" t="s">
        <v>167</v>
      </c>
      <c r="E7" s="41"/>
      <c r="F7" s="41">
        <f>489+489+489</f>
        <v>1467</v>
      </c>
      <c r="G7" s="13" t="s">
        <v>112</v>
      </c>
      <c r="H7" s="46">
        <f>(19560+19560+24450)/F7</f>
        <v>43.333333333333336</v>
      </c>
      <c r="I7" s="60">
        <f>F7*H7</f>
        <v>63570</v>
      </c>
      <c r="J7" s="13" t="s">
        <v>122</v>
      </c>
      <c r="K7" s="2"/>
      <c r="L7" s="2"/>
    </row>
    <row r="8" spans="1:12" ht="32.25" x14ac:dyDescent="0.3">
      <c r="A8" s="6"/>
      <c r="B8" s="5"/>
      <c r="C8" s="4"/>
      <c r="D8" s="15" t="s">
        <v>169</v>
      </c>
      <c r="E8" s="41"/>
      <c r="F8" s="41">
        <v>1</v>
      </c>
      <c r="G8" s="13" t="s">
        <v>141</v>
      </c>
      <c r="H8" s="41">
        <f>10000/F8</f>
        <v>10000</v>
      </c>
      <c r="I8" s="67">
        <f>F8*H8</f>
        <v>10000</v>
      </c>
      <c r="J8" s="13" t="s">
        <v>121</v>
      </c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146</v>
      </c>
      <c r="E9" s="41" t="s">
        <v>137</v>
      </c>
      <c r="F9" s="41" t="s">
        <v>137</v>
      </c>
      <c r="G9" s="13" t="s">
        <v>30</v>
      </c>
      <c r="H9" s="41"/>
      <c r="I9" s="41" t="s">
        <v>137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1" t="s">
        <v>137</v>
      </c>
      <c r="F10" s="41" t="s">
        <v>137</v>
      </c>
      <c r="G10" s="13" t="s">
        <v>30</v>
      </c>
      <c r="H10" s="41"/>
      <c r="I10" s="41" t="s">
        <v>137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1" t="s">
        <v>137</v>
      </c>
      <c r="F11" s="41" t="s">
        <v>137</v>
      </c>
      <c r="G11" s="13" t="s">
        <v>30</v>
      </c>
      <c r="H11" s="41"/>
      <c r="I11" s="41" t="s">
        <v>137</v>
      </c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137</v>
      </c>
      <c r="F12" s="41" t="s">
        <v>137</v>
      </c>
      <c r="G12" s="13" t="s">
        <v>30</v>
      </c>
      <c r="H12" s="41"/>
      <c r="I12" s="41" t="s">
        <v>137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86</v>
      </c>
      <c r="E13" s="41" t="s">
        <v>137</v>
      </c>
      <c r="F13" s="41" t="s">
        <v>137</v>
      </c>
      <c r="G13" s="13" t="s">
        <v>31</v>
      </c>
      <c r="H13" s="41"/>
      <c r="I13" s="41" t="s">
        <v>137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137</v>
      </c>
      <c r="F14" s="41" t="s">
        <v>137</v>
      </c>
      <c r="G14" s="14" t="s">
        <v>31</v>
      </c>
      <c r="H14" s="41"/>
      <c r="I14" s="41" t="s">
        <v>137</v>
      </c>
      <c r="J14" s="13"/>
      <c r="K14" s="2"/>
      <c r="L14" s="2"/>
    </row>
    <row r="15" spans="1:12" ht="18.75" x14ac:dyDescent="0.3">
      <c r="A15" s="6"/>
      <c r="B15" s="5"/>
      <c r="C15" s="4"/>
      <c r="D15" s="4" t="s">
        <v>191</v>
      </c>
      <c r="E15" s="41" t="s">
        <v>137</v>
      </c>
      <c r="F15" s="41">
        <v>2</v>
      </c>
      <c r="G15" s="14" t="s">
        <v>31</v>
      </c>
      <c r="H15" s="41">
        <f>4950.4/F15</f>
        <v>2475.1999999999998</v>
      </c>
      <c r="I15" s="60">
        <f>F15*H15</f>
        <v>4950.3999999999996</v>
      </c>
      <c r="J15" s="13" t="s">
        <v>120</v>
      </c>
      <c r="K15" s="2"/>
      <c r="L15" s="2"/>
    </row>
    <row r="16" spans="1:12" ht="32.25" x14ac:dyDescent="0.3">
      <c r="A16" s="6" t="s">
        <v>62</v>
      </c>
      <c r="B16" s="5"/>
      <c r="C16" s="4"/>
      <c r="D16" s="15" t="s">
        <v>51</v>
      </c>
      <c r="E16" s="41" t="s">
        <v>137</v>
      </c>
      <c r="F16" s="41" t="s">
        <v>137</v>
      </c>
      <c r="G16" s="13" t="s">
        <v>30</v>
      </c>
      <c r="H16" s="41"/>
      <c r="I16" s="41" t="s">
        <v>137</v>
      </c>
      <c r="J16" s="13"/>
      <c r="L16" s="2"/>
    </row>
    <row r="17" spans="1:12" ht="32.25" x14ac:dyDescent="0.3">
      <c r="A17" s="6" t="s">
        <v>7</v>
      </c>
      <c r="B17" s="5"/>
      <c r="C17" s="4"/>
      <c r="D17" s="15" t="s">
        <v>34</v>
      </c>
      <c r="E17" s="41" t="s">
        <v>137</v>
      </c>
      <c r="F17" s="41" t="s">
        <v>137</v>
      </c>
      <c r="G17" s="13" t="s">
        <v>30</v>
      </c>
      <c r="H17" s="41"/>
      <c r="I17" s="41"/>
      <c r="J17" s="13"/>
      <c r="L17" s="2"/>
    </row>
    <row r="18" spans="1:12" ht="27" customHeight="1" x14ac:dyDescent="0.3">
      <c r="A18" s="6"/>
      <c r="B18" s="5"/>
      <c r="C18" s="4"/>
      <c r="D18" s="15" t="s">
        <v>162</v>
      </c>
      <c r="E18" s="41" t="s">
        <v>137</v>
      </c>
      <c r="F18" s="41" t="s">
        <v>137</v>
      </c>
      <c r="G18" s="13" t="s">
        <v>30</v>
      </c>
      <c r="H18" s="41"/>
      <c r="I18" s="41" t="s">
        <v>137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49"/>
      <c r="F19" s="49"/>
      <c r="G19" s="31"/>
      <c r="H19" s="41"/>
      <c r="I19" s="46">
        <f>SUM(I7:I18)</f>
        <v>78520.399999999994</v>
      </c>
      <c r="J19" s="13"/>
      <c r="K19" s="2"/>
      <c r="L19" s="2"/>
    </row>
    <row r="20" spans="1:12" ht="18.75" x14ac:dyDescent="0.3">
      <c r="A20" s="76" t="s">
        <v>55</v>
      </c>
      <c r="B20" s="77"/>
      <c r="C20" s="77"/>
      <c r="D20" s="77"/>
      <c r="E20" s="77"/>
      <c r="F20" s="77"/>
      <c r="G20" s="78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95</v>
      </c>
      <c r="E21" s="41" t="s">
        <v>137</v>
      </c>
      <c r="F21" s="41" t="s">
        <v>137</v>
      </c>
      <c r="G21" s="14" t="s">
        <v>53</v>
      </c>
      <c r="H21" s="41"/>
      <c r="I21" s="41" t="s">
        <v>137</v>
      </c>
      <c r="J21" s="13"/>
      <c r="L21" s="2"/>
    </row>
    <row r="22" spans="1:12" ht="18.75" x14ac:dyDescent="0.3">
      <c r="A22" s="6" t="s">
        <v>13</v>
      </c>
      <c r="B22" s="5"/>
      <c r="C22" s="4"/>
      <c r="D22" s="4" t="s">
        <v>41</v>
      </c>
      <c r="E22" s="41" t="s">
        <v>137</v>
      </c>
      <c r="F22" s="41" t="s">
        <v>137</v>
      </c>
      <c r="G22" s="14" t="s">
        <v>52</v>
      </c>
      <c r="H22" s="41"/>
      <c r="I22" s="41" t="s">
        <v>137</v>
      </c>
      <c r="J22" s="13"/>
      <c r="L22" s="2"/>
    </row>
    <row r="23" spans="1:12" ht="18.75" x14ac:dyDescent="0.3">
      <c r="A23" s="6" t="s">
        <v>9</v>
      </c>
      <c r="B23" s="5"/>
      <c r="C23" s="4"/>
      <c r="D23" s="4" t="s">
        <v>35</v>
      </c>
      <c r="E23" s="41"/>
      <c r="F23" s="41"/>
      <c r="G23" s="14" t="s">
        <v>52</v>
      </c>
      <c r="H23" s="41"/>
      <c r="I23" s="46"/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 t="s">
        <v>137</v>
      </c>
      <c r="F24" s="41" t="s">
        <v>137</v>
      </c>
      <c r="G24" s="14" t="s">
        <v>52</v>
      </c>
      <c r="H24" s="41"/>
      <c r="I24" s="41" t="s">
        <v>137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177</v>
      </c>
      <c r="E25" s="41"/>
      <c r="F25" s="41"/>
      <c r="G25" s="14" t="s">
        <v>112</v>
      </c>
      <c r="H25" s="46"/>
      <c r="I25" s="60"/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1" t="s">
        <v>137</v>
      </c>
      <c r="F26" s="41" t="s">
        <v>137</v>
      </c>
      <c r="G26" s="14" t="s">
        <v>52</v>
      </c>
      <c r="H26" s="41"/>
      <c r="I26" s="41" t="s">
        <v>137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142</v>
      </c>
      <c r="E27" s="41" t="s">
        <v>137</v>
      </c>
      <c r="F27" s="41" t="s">
        <v>137</v>
      </c>
      <c r="G27" s="14" t="s">
        <v>143</v>
      </c>
      <c r="H27" s="41"/>
      <c r="I27" s="41" t="s">
        <v>137</v>
      </c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137</v>
      </c>
      <c r="F28" s="41" t="s">
        <v>137</v>
      </c>
      <c r="G28" s="13" t="s">
        <v>30</v>
      </c>
      <c r="H28" s="41"/>
      <c r="I28" s="41" t="s">
        <v>137</v>
      </c>
      <c r="J28" s="13"/>
      <c r="K28" s="2"/>
      <c r="L28" s="2"/>
    </row>
    <row r="29" spans="1:12" ht="39" customHeight="1" x14ac:dyDescent="0.3">
      <c r="A29" s="6" t="s">
        <v>12</v>
      </c>
      <c r="B29" s="5"/>
      <c r="C29" s="4"/>
      <c r="D29" s="15" t="s">
        <v>165</v>
      </c>
      <c r="E29" s="41" t="s">
        <v>137</v>
      </c>
      <c r="F29" s="41" t="s">
        <v>137</v>
      </c>
      <c r="G29" s="14" t="s">
        <v>52</v>
      </c>
      <c r="H29" s="41"/>
      <c r="I29" s="41" t="s">
        <v>137</v>
      </c>
      <c r="J29" s="13"/>
      <c r="K29" s="2"/>
      <c r="L29" s="2"/>
    </row>
    <row r="30" spans="1:12" ht="18.75" x14ac:dyDescent="0.3">
      <c r="A30" s="6" t="s">
        <v>54</v>
      </c>
      <c r="B30" s="5"/>
      <c r="C30" s="4"/>
      <c r="D30" s="15" t="s">
        <v>158</v>
      </c>
      <c r="E30" s="41" t="s">
        <v>137</v>
      </c>
      <c r="F30" s="41" t="s">
        <v>137</v>
      </c>
      <c r="G30" s="14" t="s">
        <v>30</v>
      </c>
      <c r="H30" s="41"/>
      <c r="I30" s="41" t="s">
        <v>137</v>
      </c>
      <c r="J30" s="13"/>
      <c r="L30" s="2"/>
    </row>
    <row r="31" spans="1:12" ht="18.75" x14ac:dyDescent="0.3">
      <c r="A31" s="6"/>
      <c r="B31" s="5"/>
      <c r="C31" s="4"/>
      <c r="D31" s="15" t="s">
        <v>176</v>
      </c>
      <c r="E31" s="41"/>
      <c r="F31" s="41">
        <f>80.5</f>
        <v>80.5</v>
      </c>
      <c r="G31" s="14" t="s">
        <v>112</v>
      </c>
      <c r="H31" s="46">
        <f>45062.8/F31</f>
        <v>559.78633540372675</v>
      </c>
      <c r="I31" s="60">
        <f>F31*H31</f>
        <v>45062.8</v>
      </c>
      <c r="J31" s="13" t="s">
        <v>121</v>
      </c>
      <c r="L31" s="2"/>
    </row>
    <row r="32" spans="1:12" ht="32.25" x14ac:dyDescent="0.3">
      <c r="A32" s="6" t="s">
        <v>56</v>
      </c>
      <c r="B32" s="5"/>
      <c r="C32" s="4"/>
      <c r="D32" s="15" t="s">
        <v>94</v>
      </c>
      <c r="E32" s="41" t="s">
        <v>137</v>
      </c>
      <c r="F32" s="41" t="s">
        <v>137</v>
      </c>
      <c r="G32" s="14" t="s">
        <v>52</v>
      </c>
      <c r="H32" s="41"/>
      <c r="I32" s="41" t="s">
        <v>137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93</v>
      </c>
      <c r="E33" s="41" t="s">
        <v>137</v>
      </c>
      <c r="F33" s="41" t="s">
        <v>137</v>
      </c>
      <c r="G33" s="14" t="s">
        <v>53</v>
      </c>
      <c r="H33" s="41"/>
      <c r="I33" s="41" t="s">
        <v>137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42</v>
      </c>
      <c r="E34" s="41" t="s">
        <v>137</v>
      </c>
      <c r="F34" s="41" t="s">
        <v>137</v>
      </c>
      <c r="G34" s="14" t="s">
        <v>53</v>
      </c>
      <c r="H34" s="41"/>
      <c r="I34" s="41" t="s">
        <v>137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43</v>
      </c>
      <c r="E35" s="41" t="s">
        <v>137</v>
      </c>
      <c r="F35" s="41" t="s">
        <v>137</v>
      </c>
      <c r="G35" s="14" t="s">
        <v>52</v>
      </c>
      <c r="H35" s="41"/>
      <c r="I35" s="41" t="s">
        <v>137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44</v>
      </c>
      <c r="E36" s="41" t="s">
        <v>137</v>
      </c>
      <c r="F36" s="41" t="s">
        <v>137</v>
      </c>
      <c r="G36" s="13" t="s">
        <v>30</v>
      </c>
      <c r="H36" s="41"/>
      <c r="I36" s="41" t="s">
        <v>137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45</v>
      </c>
      <c r="E37" s="41" t="s">
        <v>137</v>
      </c>
      <c r="F37" s="41" t="s">
        <v>137</v>
      </c>
      <c r="G37" s="14" t="s">
        <v>53</v>
      </c>
      <c r="H37" s="41"/>
      <c r="I37" s="41" t="s">
        <v>137</v>
      </c>
      <c r="J37" s="13"/>
      <c r="L37" s="2"/>
    </row>
    <row r="38" spans="1:12" ht="18.75" x14ac:dyDescent="0.3">
      <c r="A38" s="28"/>
      <c r="B38" s="22"/>
      <c r="C38" s="22"/>
      <c r="D38" s="22"/>
      <c r="E38" s="49"/>
      <c r="F38" s="49"/>
      <c r="G38" s="12"/>
      <c r="H38" s="41"/>
      <c r="I38" s="46">
        <f>SUM(I25:I37)</f>
        <v>45062.8</v>
      </c>
      <c r="J38" s="13"/>
      <c r="L38" s="2"/>
    </row>
    <row r="39" spans="1:12" ht="24" customHeight="1" x14ac:dyDescent="0.3">
      <c r="A39" s="76" t="s">
        <v>85</v>
      </c>
      <c r="B39" s="77"/>
      <c r="C39" s="77"/>
      <c r="D39" s="77"/>
      <c r="E39" s="77"/>
      <c r="F39" s="77"/>
      <c r="G39" s="78"/>
      <c r="H39" s="14"/>
      <c r="I39" s="5"/>
      <c r="J39" s="13"/>
      <c r="L39" s="2"/>
    </row>
    <row r="40" spans="1:12" ht="32.25" customHeight="1" x14ac:dyDescent="0.3">
      <c r="A40" s="6" t="s">
        <v>48</v>
      </c>
      <c r="B40" s="5"/>
      <c r="C40" s="4"/>
      <c r="D40" s="15" t="s">
        <v>192</v>
      </c>
      <c r="E40" s="32"/>
      <c r="F40" s="13">
        <v>4</v>
      </c>
      <c r="G40" s="38" t="s">
        <v>193</v>
      </c>
      <c r="H40" s="33">
        <f>14669.4/F40</f>
        <v>3667.35</v>
      </c>
      <c r="I40" s="61">
        <f t="shared" ref="I40" si="0">F40*H40</f>
        <v>14669.4</v>
      </c>
      <c r="J40" s="13" t="s">
        <v>121</v>
      </c>
      <c r="L40" s="2"/>
    </row>
    <row r="41" spans="1:12" ht="51" customHeight="1" x14ac:dyDescent="0.3">
      <c r="A41" s="6"/>
      <c r="B41" s="5"/>
      <c r="C41" s="4"/>
      <c r="D41" s="15" t="s">
        <v>194</v>
      </c>
      <c r="E41" s="41"/>
      <c r="F41" s="41">
        <f>1</f>
        <v>1</v>
      </c>
      <c r="G41" s="13" t="s">
        <v>31</v>
      </c>
      <c r="H41" s="46">
        <f>6985.6/F41</f>
        <v>6985.6</v>
      </c>
      <c r="I41" s="60">
        <f>F41*H41</f>
        <v>6985.6</v>
      </c>
      <c r="J41" s="13" t="s">
        <v>117</v>
      </c>
      <c r="L41" s="2"/>
    </row>
    <row r="42" spans="1:12" ht="51" customHeight="1" x14ac:dyDescent="0.3">
      <c r="A42" s="6"/>
      <c r="B42" s="5"/>
      <c r="C42" s="4"/>
      <c r="D42" s="15" t="s">
        <v>195</v>
      </c>
      <c r="E42" s="41"/>
      <c r="F42" s="41">
        <f>1</f>
        <v>1</v>
      </c>
      <c r="G42" s="13" t="s">
        <v>31</v>
      </c>
      <c r="H42" s="46">
        <f>1552/F42</f>
        <v>1552</v>
      </c>
      <c r="I42" s="60">
        <f>F42*H42</f>
        <v>1552</v>
      </c>
      <c r="J42" s="13" t="s">
        <v>120</v>
      </c>
      <c r="L42" s="2"/>
    </row>
    <row r="43" spans="1:12" ht="51" customHeight="1" x14ac:dyDescent="0.3">
      <c r="A43" s="6"/>
      <c r="B43" s="5"/>
      <c r="C43" s="4"/>
      <c r="D43" s="15" t="s">
        <v>196</v>
      </c>
      <c r="E43" s="41"/>
      <c r="F43" s="41">
        <f>1</f>
        <v>1</v>
      </c>
      <c r="G43" s="13" t="s">
        <v>31</v>
      </c>
      <c r="H43" s="46">
        <f>2155/F43</f>
        <v>2155</v>
      </c>
      <c r="I43" s="60">
        <f t="shared" ref="I43:I44" si="1">F43*H43</f>
        <v>2155</v>
      </c>
      <c r="J43" s="13" t="s">
        <v>120</v>
      </c>
      <c r="L43" s="2"/>
    </row>
    <row r="44" spans="1:12" ht="51" customHeight="1" x14ac:dyDescent="0.3">
      <c r="A44" s="6"/>
      <c r="B44" s="5"/>
      <c r="C44" s="4"/>
      <c r="D44" s="15" t="s">
        <v>197</v>
      </c>
      <c r="E44" s="41"/>
      <c r="F44" s="41">
        <v>2</v>
      </c>
      <c r="G44" s="13" t="s">
        <v>31</v>
      </c>
      <c r="H44" s="46">
        <f>607.2/F44</f>
        <v>303.60000000000002</v>
      </c>
      <c r="I44" s="60">
        <f t="shared" si="1"/>
        <v>607.20000000000005</v>
      </c>
      <c r="J44" s="13" t="s">
        <v>120</v>
      </c>
      <c r="L44" s="2"/>
    </row>
    <row r="45" spans="1:12" ht="32.25" x14ac:dyDescent="0.3">
      <c r="A45" s="6" t="s">
        <v>49</v>
      </c>
      <c r="B45" s="5"/>
      <c r="C45" s="4"/>
      <c r="D45" s="15" t="s">
        <v>99</v>
      </c>
      <c r="E45" s="41" t="s">
        <v>137</v>
      </c>
      <c r="F45" s="41" t="s">
        <v>137</v>
      </c>
      <c r="G45" s="13" t="s">
        <v>53</v>
      </c>
      <c r="H45" s="41"/>
      <c r="I45" s="41" t="s">
        <v>137</v>
      </c>
      <c r="J45" s="13"/>
      <c r="L45" s="2"/>
    </row>
    <row r="46" spans="1:12" ht="32.25" x14ac:dyDescent="0.3">
      <c r="A46" s="6" t="s">
        <v>58</v>
      </c>
      <c r="B46" s="8"/>
      <c r="C46" s="4"/>
      <c r="D46" s="15" t="s">
        <v>46</v>
      </c>
      <c r="E46" s="41" t="s">
        <v>137</v>
      </c>
      <c r="F46" s="41" t="s">
        <v>137</v>
      </c>
      <c r="G46" s="14" t="s">
        <v>52</v>
      </c>
      <c r="H46" s="41"/>
      <c r="I46" s="41" t="s">
        <v>137</v>
      </c>
      <c r="J46" s="13"/>
      <c r="L46" s="2"/>
    </row>
    <row r="47" spans="1:12" ht="18.75" x14ac:dyDescent="0.3">
      <c r="A47" s="6"/>
      <c r="B47" s="8"/>
      <c r="C47" s="4"/>
      <c r="D47" s="15" t="s">
        <v>164</v>
      </c>
      <c r="E47" s="41" t="s">
        <v>137</v>
      </c>
      <c r="F47" s="41" t="s">
        <v>137</v>
      </c>
      <c r="G47" s="14" t="s">
        <v>31</v>
      </c>
      <c r="H47" s="41"/>
      <c r="I47" s="41" t="s">
        <v>137</v>
      </c>
      <c r="J47" s="13"/>
      <c r="L47" s="2"/>
    </row>
    <row r="48" spans="1:12" ht="18.75" x14ac:dyDescent="0.3">
      <c r="A48" s="6" t="s">
        <v>60</v>
      </c>
      <c r="B48" s="5"/>
      <c r="C48" s="4"/>
      <c r="D48" s="15" t="s">
        <v>50</v>
      </c>
      <c r="E48" s="41" t="s">
        <v>137</v>
      </c>
      <c r="F48" s="41" t="s">
        <v>137</v>
      </c>
      <c r="G48" s="14" t="s">
        <v>52</v>
      </c>
      <c r="H48" s="41"/>
      <c r="I48" s="41" t="s">
        <v>137</v>
      </c>
      <c r="J48" s="13"/>
      <c r="L48" s="2"/>
    </row>
    <row r="49" spans="1:12" ht="32.25" x14ac:dyDescent="0.3">
      <c r="A49" s="6" t="s">
        <v>61</v>
      </c>
      <c r="B49" s="5"/>
      <c r="C49" s="4"/>
      <c r="D49" s="15" t="s">
        <v>63</v>
      </c>
      <c r="E49" s="41" t="s">
        <v>137</v>
      </c>
      <c r="F49" s="41" t="s">
        <v>137</v>
      </c>
      <c r="G49" s="13" t="s">
        <v>30</v>
      </c>
      <c r="H49" s="41"/>
      <c r="I49" s="41" t="s">
        <v>137</v>
      </c>
      <c r="J49" s="13"/>
      <c r="L49" s="2"/>
    </row>
    <row r="50" spans="1:12" ht="18.75" x14ac:dyDescent="0.3">
      <c r="A50" s="6"/>
      <c r="B50" s="5"/>
      <c r="C50" s="4"/>
      <c r="D50" s="15" t="s">
        <v>148</v>
      </c>
      <c r="E50" s="41" t="s">
        <v>137</v>
      </c>
      <c r="F50" s="41" t="s">
        <v>137</v>
      </c>
      <c r="G50" s="13" t="s">
        <v>31</v>
      </c>
      <c r="H50" s="41"/>
      <c r="I50" s="41" t="s">
        <v>137</v>
      </c>
      <c r="J50" s="13"/>
      <c r="L50" s="2"/>
    </row>
    <row r="51" spans="1:12" ht="18.75" x14ac:dyDescent="0.3">
      <c r="A51" s="6" t="s">
        <v>57</v>
      </c>
      <c r="B51" s="8"/>
      <c r="C51" s="4"/>
      <c r="D51" s="4" t="s">
        <v>178</v>
      </c>
      <c r="E51" s="41" t="s">
        <v>137</v>
      </c>
      <c r="F51" s="41"/>
      <c r="G51" s="14" t="s">
        <v>134</v>
      </c>
      <c r="H51" s="41"/>
      <c r="I51" s="60"/>
      <c r="J51" s="13"/>
      <c r="L51" s="2"/>
    </row>
    <row r="52" spans="1:12" ht="24" customHeight="1" x14ac:dyDescent="0.3">
      <c r="A52" s="6" t="s">
        <v>59</v>
      </c>
      <c r="B52" s="8"/>
      <c r="C52" s="4"/>
      <c r="D52" s="4" t="s">
        <v>47</v>
      </c>
      <c r="E52" s="41" t="s">
        <v>137</v>
      </c>
      <c r="F52" s="41" t="s">
        <v>137</v>
      </c>
      <c r="G52" s="14" t="s">
        <v>52</v>
      </c>
      <c r="H52" s="41"/>
      <c r="I52" s="41" t="s">
        <v>137</v>
      </c>
      <c r="J52" s="13"/>
      <c r="L52" s="2"/>
    </row>
    <row r="53" spans="1:12" ht="18.75" x14ac:dyDescent="0.3">
      <c r="A53" s="6" t="s">
        <v>64</v>
      </c>
      <c r="B53" s="5"/>
      <c r="C53" s="4"/>
      <c r="D53" s="4" t="s">
        <v>92</v>
      </c>
      <c r="E53" s="41" t="s">
        <v>137</v>
      </c>
      <c r="F53" s="41" t="s">
        <v>137</v>
      </c>
      <c r="G53" s="14" t="s">
        <v>53</v>
      </c>
      <c r="H53" s="41"/>
      <c r="I53" s="41" t="s">
        <v>137</v>
      </c>
      <c r="J53" s="13"/>
      <c r="L53" s="2"/>
    </row>
    <row r="54" spans="1:12" ht="18.75" x14ac:dyDescent="0.3">
      <c r="A54" s="28"/>
      <c r="B54" s="22"/>
      <c r="C54" s="22"/>
      <c r="D54" s="22"/>
      <c r="E54" s="49"/>
      <c r="F54" s="49"/>
      <c r="G54" s="12"/>
      <c r="H54" s="41"/>
      <c r="I54" s="41">
        <f>SUM(I40:I53)</f>
        <v>25969.200000000001</v>
      </c>
      <c r="J54" s="13"/>
      <c r="L54" s="2"/>
    </row>
    <row r="55" spans="1:12" ht="18.75" x14ac:dyDescent="0.3">
      <c r="A55" s="76" t="s">
        <v>66</v>
      </c>
      <c r="B55" s="77"/>
      <c r="C55" s="77"/>
      <c r="D55" s="77"/>
      <c r="E55" s="77"/>
      <c r="F55" s="77"/>
      <c r="G55" s="78"/>
      <c r="H55" s="18"/>
      <c r="I55" s="5"/>
      <c r="J55" s="13"/>
      <c r="L55" s="2"/>
    </row>
    <row r="56" spans="1:12" ht="37.5" x14ac:dyDescent="0.25">
      <c r="A56" s="9" t="s">
        <v>29</v>
      </c>
      <c r="B56" s="8"/>
      <c r="C56" s="4"/>
      <c r="D56" s="15" t="s">
        <v>140</v>
      </c>
      <c r="E56" s="41"/>
      <c r="F56" s="41"/>
      <c r="G56" s="13" t="s">
        <v>53</v>
      </c>
      <c r="H56" s="46"/>
      <c r="I56" s="41"/>
      <c r="J56" s="13"/>
      <c r="L56" s="2"/>
    </row>
    <row r="57" spans="1:12" ht="31.5" x14ac:dyDescent="0.25">
      <c r="A57" s="9"/>
      <c r="B57" s="8"/>
      <c r="C57" s="4"/>
      <c r="D57" s="15" t="s">
        <v>190</v>
      </c>
      <c r="E57" s="41"/>
      <c r="F57" s="41">
        <f>4+7</f>
        <v>11</v>
      </c>
      <c r="G57" s="13" t="s">
        <v>31</v>
      </c>
      <c r="H57" s="46">
        <f>(692.2+1210.8)/F57</f>
        <v>173</v>
      </c>
      <c r="I57" s="41">
        <f>F57*H57</f>
        <v>1903</v>
      </c>
      <c r="J57" s="13" t="s">
        <v>120</v>
      </c>
      <c r="L57" s="2"/>
    </row>
    <row r="58" spans="1:12" ht="46.5" customHeight="1" x14ac:dyDescent="0.25">
      <c r="A58" s="9" t="s">
        <v>91</v>
      </c>
      <c r="B58" s="8"/>
      <c r="C58" s="4"/>
      <c r="D58" s="42" t="s">
        <v>124</v>
      </c>
      <c r="E58" s="32"/>
      <c r="F58" s="13">
        <f>195.8</f>
        <v>195.8</v>
      </c>
      <c r="G58" s="13" t="s">
        <v>112</v>
      </c>
      <c r="H58" s="33">
        <f>(916.6+916.6+916.6+922+922+922+957.6+957.6+957.6+970.8+970.8+970.8)/F58</f>
        <v>57.717058222676187</v>
      </c>
      <c r="I58" s="33">
        <f t="shared" ref="I58:I59" si="2">F58*H58</f>
        <v>11300.999999999998</v>
      </c>
      <c r="J58" s="13" t="s">
        <v>115</v>
      </c>
      <c r="L58" s="2"/>
    </row>
    <row r="59" spans="1:12" ht="46.5" customHeight="1" x14ac:dyDescent="0.25">
      <c r="A59" s="9"/>
      <c r="B59" s="8"/>
      <c r="C59" s="4"/>
      <c r="D59" s="15" t="s">
        <v>111</v>
      </c>
      <c r="E59" s="32"/>
      <c r="F59" s="13">
        <f>731</f>
        <v>731</v>
      </c>
      <c r="G59" s="13" t="s">
        <v>30</v>
      </c>
      <c r="H59" s="33">
        <f>66782.4/F59</f>
        <v>91.357592339261274</v>
      </c>
      <c r="I59" s="33">
        <f t="shared" si="2"/>
        <v>66782.399999999994</v>
      </c>
      <c r="J59" s="13" t="s">
        <v>117</v>
      </c>
      <c r="L59" s="2"/>
    </row>
    <row r="60" spans="1:12" ht="46.5" customHeight="1" x14ac:dyDescent="0.25">
      <c r="A60" s="9"/>
      <c r="B60" s="8"/>
      <c r="C60" s="4"/>
      <c r="D60" s="15" t="s">
        <v>152</v>
      </c>
      <c r="E60" s="31"/>
      <c r="F60" s="31">
        <f>4</f>
        <v>4</v>
      </c>
      <c r="G60" s="13" t="s">
        <v>30</v>
      </c>
      <c r="H60" s="48">
        <f>1429.4/F60</f>
        <v>357.35</v>
      </c>
      <c r="I60" s="62">
        <f t="shared" ref="I60:I62" si="3">F60*H60</f>
        <v>1429.4</v>
      </c>
      <c r="J60" s="13" t="s">
        <v>117</v>
      </c>
      <c r="L60" s="2"/>
    </row>
    <row r="61" spans="1:12" ht="78.75" customHeight="1" x14ac:dyDescent="0.25">
      <c r="A61" s="9"/>
      <c r="B61" s="8"/>
      <c r="C61" s="4"/>
      <c r="D61" s="15" t="s">
        <v>186</v>
      </c>
      <c r="E61" s="41"/>
      <c r="F61" s="41">
        <f>7</f>
        <v>7</v>
      </c>
      <c r="G61" s="13" t="s">
        <v>151</v>
      </c>
      <c r="H61" s="46">
        <f>167.6/F61</f>
        <v>23.942857142857143</v>
      </c>
      <c r="I61" s="60">
        <f t="shared" si="3"/>
        <v>167.6</v>
      </c>
      <c r="J61" s="13" t="s">
        <v>117</v>
      </c>
      <c r="L61" s="2"/>
    </row>
    <row r="62" spans="1:12" ht="46.5" customHeight="1" x14ac:dyDescent="0.25">
      <c r="A62" s="9"/>
      <c r="B62" s="8"/>
      <c r="C62" s="4"/>
      <c r="D62" s="15" t="s">
        <v>187</v>
      </c>
      <c r="E62" s="41"/>
      <c r="F62" s="41">
        <f>4</f>
        <v>4</v>
      </c>
      <c r="G62" s="13" t="s">
        <v>30</v>
      </c>
      <c r="H62" s="41">
        <f>3025.2/F62</f>
        <v>756.3</v>
      </c>
      <c r="I62" s="60">
        <f t="shared" si="3"/>
        <v>3025.2</v>
      </c>
      <c r="J62" s="13" t="s">
        <v>117</v>
      </c>
      <c r="L62" s="2"/>
    </row>
    <row r="63" spans="1:12" ht="46.5" customHeight="1" x14ac:dyDescent="0.25">
      <c r="A63" s="9"/>
      <c r="B63" s="8"/>
      <c r="C63" s="4"/>
      <c r="D63" s="15" t="s">
        <v>155</v>
      </c>
      <c r="E63" s="41"/>
      <c r="F63" s="41">
        <f>2</f>
        <v>2</v>
      </c>
      <c r="G63" s="13" t="s">
        <v>31</v>
      </c>
      <c r="H63" s="41">
        <f>3175.6/F63</f>
        <v>1587.8</v>
      </c>
      <c r="I63" s="41">
        <f t="shared" ref="I63" si="4">F63*H63</f>
        <v>3175.6</v>
      </c>
      <c r="J63" s="13" t="s">
        <v>117</v>
      </c>
      <c r="L63" s="2"/>
    </row>
    <row r="64" spans="1:12" ht="46.5" customHeight="1" x14ac:dyDescent="0.25">
      <c r="A64" s="9"/>
      <c r="B64" s="8"/>
      <c r="C64" s="4"/>
      <c r="D64" s="15" t="s">
        <v>130</v>
      </c>
      <c r="E64" s="41"/>
      <c r="F64" s="41">
        <f>4</f>
        <v>4</v>
      </c>
      <c r="G64" s="13" t="s">
        <v>31</v>
      </c>
      <c r="H64" s="41">
        <f>4828/F64</f>
        <v>1207</v>
      </c>
      <c r="I64" s="60">
        <f>F64*H64</f>
        <v>4828</v>
      </c>
      <c r="J64" s="13" t="s">
        <v>117</v>
      </c>
      <c r="L64" s="2"/>
    </row>
    <row r="65" spans="1:12" ht="31.5" x14ac:dyDescent="0.25">
      <c r="A65" s="9" t="s">
        <v>82</v>
      </c>
      <c r="B65" s="8"/>
      <c r="C65" s="4"/>
      <c r="D65" s="15" t="s">
        <v>150</v>
      </c>
      <c r="E65" s="41"/>
      <c r="F65" s="41"/>
      <c r="G65" s="13" t="s">
        <v>53</v>
      </c>
      <c r="H65" s="41"/>
      <c r="I65" s="41"/>
      <c r="J65" s="13" t="s">
        <v>117</v>
      </c>
      <c r="L65" s="2"/>
    </row>
    <row r="66" spans="1:12" ht="18.75" x14ac:dyDescent="0.25">
      <c r="A66" s="9"/>
      <c r="B66" s="8"/>
      <c r="C66" s="4"/>
      <c r="D66" s="15" t="s">
        <v>166</v>
      </c>
      <c r="E66" s="41"/>
      <c r="F66" s="41"/>
      <c r="G66" s="13" t="s">
        <v>31</v>
      </c>
      <c r="H66" s="41"/>
      <c r="I66" s="41"/>
      <c r="J66" s="13" t="s">
        <v>115</v>
      </c>
      <c r="L66" s="2"/>
    </row>
    <row r="67" spans="1:12" ht="18.75" x14ac:dyDescent="0.25">
      <c r="A67" s="9" t="s">
        <v>20</v>
      </c>
      <c r="B67" s="8"/>
      <c r="C67" s="4"/>
      <c r="D67" s="15" t="s">
        <v>67</v>
      </c>
      <c r="E67" s="41" t="s">
        <v>137</v>
      </c>
      <c r="F67" s="41" t="s">
        <v>137</v>
      </c>
      <c r="G67" s="13" t="s">
        <v>30</v>
      </c>
      <c r="H67" s="41"/>
      <c r="I67" s="41" t="s">
        <v>137</v>
      </c>
      <c r="J67" s="13"/>
      <c r="L67" s="2"/>
    </row>
    <row r="68" spans="1:12" ht="31.5" x14ac:dyDescent="0.25">
      <c r="A68" s="9" t="s">
        <v>21</v>
      </c>
      <c r="B68" s="8"/>
      <c r="C68" s="4"/>
      <c r="D68" s="15" t="s">
        <v>69</v>
      </c>
      <c r="E68" s="41" t="s">
        <v>137</v>
      </c>
      <c r="F68" s="41" t="s">
        <v>137</v>
      </c>
      <c r="G68" s="13" t="s">
        <v>53</v>
      </c>
      <c r="H68" s="41"/>
      <c r="I68" s="41" t="s">
        <v>137</v>
      </c>
      <c r="J68" s="13"/>
      <c r="L68" s="2"/>
    </row>
    <row r="69" spans="1:12" ht="18.75" x14ac:dyDescent="0.25">
      <c r="A69" s="50"/>
      <c r="B69" s="51"/>
      <c r="C69" s="22"/>
      <c r="D69" s="30"/>
      <c r="E69" s="49"/>
      <c r="F69" s="49"/>
      <c r="G69" s="31"/>
      <c r="H69" s="41"/>
      <c r="I69" s="46">
        <f>SUM(I56:I68)</f>
        <v>92612.2</v>
      </c>
      <c r="J69" s="13"/>
      <c r="L69" s="2"/>
    </row>
    <row r="70" spans="1:12" ht="18.75" x14ac:dyDescent="0.3">
      <c r="A70" s="72" t="s">
        <v>70</v>
      </c>
      <c r="B70" s="73"/>
      <c r="C70" s="73"/>
      <c r="D70" s="73"/>
      <c r="E70" s="73"/>
      <c r="F70" s="73"/>
      <c r="G70" s="74"/>
      <c r="H70" s="19"/>
      <c r="I70" s="5"/>
      <c r="J70" s="13"/>
      <c r="L70" s="2"/>
    </row>
    <row r="71" spans="1:12" ht="37.5" x14ac:dyDescent="0.25">
      <c r="A71" s="9" t="s">
        <v>91</v>
      </c>
      <c r="B71" s="8"/>
      <c r="C71" s="4"/>
      <c r="D71" s="4" t="s">
        <v>126</v>
      </c>
      <c r="E71" s="41" t="s">
        <v>137</v>
      </c>
      <c r="F71" s="41" t="s">
        <v>137</v>
      </c>
      <c r="G71" s="13" t="s">
        <v>114</v>
      </c>
      <c r="H71" s="41"/>
      <c r="I71" s="41" t="s">
        <v>137</v>
      </c>
      <c r="J71" s="13"/>
      <c r="L71" s="2"/>
    </row>
    <row r="72" spans="1:12" ht="18.75" x14ac:dyDescent="0.25">
      <c r="A72" s="9" t="s">
        <v>82</v>
      </c>
      <c r="B72" s="8"/>
      <c r="C72" s="4"/>
      <c r="D72" s="15" t="s">
        <v>68</v>
      </c>
      <c r="E72" s="41" t="s">
        <v>137</v>
      </c>
      <c r="F72" s="41" t="s">
        <v>137</v>
      </c>
      <c r="G72" s="13" t="s">
        <v>53</v>
      </c>
      <c r="H72" s="41"/>
      <c r="I72" s="41" t="s">
        <v>137</v>
      </c>
      <c r="J72" s="13"/>
      <c r="L72" s="2"/>
    </row>
    <row r="73" spans="1:12" ht="18.75" x14ac:dyDescent="0.25">
      <c r="A73" s="9"/>
      <c r="B73" s="8"/>
      <c r="C73" s="4"/>
      <c r="D73" s="15" t="s">
        <v>168</v>
      </c>
      <c r="E73" s="41"/>
      <c r="F73" s="41"/>
      <c r="G73" s="13" t="s">
        <v>31</v>
      </c>
      <c r="H73" s="41"/>
      <c r="I73" s="41"/>
      <c r="J73" s="13"/>
      <c r="L73" s="2"/>
    </row>
    <row r="74" spans="1:12" ht="31.5" x14ac:dyDescent="0.25">
      <c r="A74" s="9" t="s">
        <v>21</v>
      </c>
      <c r="B74" s="8"/>
      <c r="C74" s="4"/>
      <c r="D74" s="15" t="s">
        <v>69</v>
      </c>
      <c r="E74" s="41" t="s">
        <v>137</v>
      </c>
      <c r="F74" s="41" t="s">
        <v>137</v>
      </c>
      <c r="G74" s="13" t="s">
        <v>141</v>
      </c>
      <c r="H74" s="41"/>
      <c r="I74" s="41" t="s">
        <v>137</v>
      </c>
      <c r="J74" s="13"/>
      <c r="L74" s="2"/>
    </row>
    <row r="75" spans="1:12" ht="18.75" x14ac:dyDescent="0.25">
      <c r="A75" s="50"/>
      <c r="B75" s="51"/>
      <c r="C75" s="22"/>
      <c r="D75" s="30"/>
      <c r="E75" s="49"/>
      <c r="F75" s="49"/>
      <c r="G75" s="31"/>
      <c r="H75" s="41"/>
      <c r="I75" s="41">
        <f>SUM(I73:I74)</f>
        <v>0</v>
      </c>
      <c r="J75" s="13"/>
      <c r="L75" s="2"/>
    </row>
    <row r="76" spans="1:12" ht="18.75" x14ac:dyDescent="0.3">
      <c r="A76" s="72" t="s">
        <v>71</v>
      </c>
      <c r="B76" s="73"/>
      <c r="C76" s="73"/>
      <c r="D76" s="73"/>
      <c r="E76" s="73"/>
      <c r="F76" s="73"/>
      <c r="G76" s="74"/>
      <c r="H76" s="13"/>
      <c r="I76" s="5"/>
      <c r="J76" s="13"/>
      <c r="L76" s="2"/>
    </row>
    <row r="77" spans="1:12" ht="37.5" x14ac:dyDescent="0.25">
      <c r="A77" s="9" t="s">
        <v>91</v>
      </c>
      <c r="B77" s="8"/>
      <c r="C77" s="4"/>
      <c r="D77" s="4" t="s">
        <v>160</v>
      </c>
      <c r="E77" s="31"/>
      <c r="F77" s="13">
        <f>6+1+2+2+2+1+1+6+2+1+1</f>
        <v>25</v>
      </c>
      <c r="G77" s="13" t="s">
        <v>114</v>
      </c>
      <c r="H77" s="33">
        <f>(4212.2+702.4+1402.8+1412.8+1412.6+734+734+4405.2+1486.6+742.2+742.2)/F77/3</f>
        <v>239.82666666666668</v>
      </c>
      <c r="I77" s="33">
        <f t="shared" ref="I77" si="5">F77*H77</f>
        <v>5995.666666666667</v>
      </c>
      <c r="J77" s="13" t="s">
        <v>115</v>
      </c>
      <c r="L77" s="2"/>
    </row>
    <row r="78" spans="1:12" ht="31.5" x14ac:dyDescent="0.25">
      <c r="A78" s="9"/>
      <c r="B78" s="8"/>
      <c r="C78" s="4"/>
      <c r="D78" s="15" t="s">
        <v>152</v>
      </c>
      <c r="E78" s="31"/>
      <c r="F78" s="31">
        <f>2</f>
        <v>2</v>
      </c>
      <c r="G78" s="13" t="s">
        <v>30</v>
      </c>
      <c r="H78" s="48">
        <f>678.2/F78</f>
        <v>339.1</v>
      </c>
      <c r="I78" s="62">
        <f t="shared" ref="I78:I80" si="6">F78*H78</f>
        <v>678.2</v>
      </c>
      <c r="J78" s="13" t="s">
        <v>117</v>
      </c>
      <c r="L78" s="2"/>
    </row>
    <row r="79" spans="1:12" ht="78.75" x14ac:dyDescent="0.25">
      <c r="A79" s="9"/>
      <c r="B79" s="8"/>
      <c r="C79" s="4"/>
      <c r="D79" s="15" t="s">
        <v>153</v>
      </c>
      <c r="E79" s="31"/>
      <c r="F79" s="31">
        <f>4</f>
        <v>4</v>
      </c>
      <c r="G79" s="13" t="s">
        <v>151</v>
      </c>
      <c r="H79" s="48">
        <f>149.2/F79</f>
        <v>37.299999999999997</v>
      </c>
      <c r="I79" s="62">
        <f t="shared" si="6"/>
        <v>149.19999999999999</v>
      </c>
      <c r="J79" s="13" t="s">
        <v>121</v>
      </c>
      <c r="L79" s="2"/>
    </row>
    <row r="80" spans="1:12" ht="47.25" x14ac:dyDescent="0.25">
      <c r="A80" s="9"/>
      <c r="B80" s="8"/>
      <c r="C80" s="4"/>
      <c r="D80" s="15" t="s">
        <v>189</v>
      </c>
      <c r="E80" s="31"/>
      <c r="F80" s="31">
        <f>2</f>
        <v>2</v>
      </c>
      <c r="G80" s="13" t="s">
        <v>30</v>
      </c>
      <c r="H80" s="48">
        <f>2568.2/F80</f>
        <v>1284.0999999999999</v>
      </c>
      <c r="I80" s="62">
        <f t="shared" si="6"/>
        <v>2568.1999999999998</v>
      </c>
      <c r="J80" s="13" t="s">
        <v>121</v>
      </c>
      <c r="L80" s="2"/>
    </row>
    <row r="81" spans="1:12" ht="18.75" x14ac:dyDescent="0.25">
      <c r="A81" s="9" t="s">
        <v>82</v>
      </c>
      <c r="B81" s="8"/>
      <c r="C81" s="4"/>
      <c r="D81" s="15" t="s">
        <v>68</v>
      </c>
      <c r="E81" s="41" t="s">
        <v>137</v>
      </c>
      <c r="F81" s="41" t="s">
        <v>137</v>
      </c>
      <c r="G81" s="14" t="s">
        <v>53</v>
      </c>
      <c r="H81" s="41"/>
      <c r="I81" s="41" t="s">
        <v>137</v>
      </c>
      <c r="J81" s="13"/>
      <c r="L81" s="2"/>
    </row>
    <row r="82" spans="1:12" ht="31.5" x14ac:dyDescent="0.25">
      <c r="A82" s="9"/>
      <c r="B82" s="8"/>
      <c r="C82" s="4"/>
      <c r="D82" s="15" t="s">
        <v>180</v>
      </c>
      <c r="E82" s="41"/>
      <c r="F82" s="41"/>
      <c r="G82" s="14" t="s">
        <v>31</v>
      </c>
      <c r="H82" s="46"/>
      <c r="I82" s="60"/>
      <c r="J82" s="13"/>
      <c r="L82" s="2"/>
    </row>
    <row r="83" spans="1:12" ht="31.5" x14ac:dyDescent="0.25">
      <c r="A83" s="9" t="s">
        <v>21</v>
      </c>
      <c r="B83" s="8"/>
      <c r="C83" s="4"/>
      <c r="D83" s="15" t="s">
        <v>69</v>
      </c>
      <c r="E83" s="41" t="s">
        <v>137</v>
      </c>
      <c r="F83" s="41" t="s">
        <v>137</v>
      </c>
      <c r="G83" s="14" t="s">
        <v>53</v>
      </c>
      <c r="H83" s="41"/>
      <c r="I83" s="41" t="s">
        <v>137</v>
      </c>
      <c r="J83" s="13"/>
      <c r="L83" s="2"/>
    </row>
    <row r="84" spans="1:12" ht="18.75" x14ac:dyDescent="0.25">
      <c r="A84" s="50"/>
      <c r="B84" s="51"/>
      <c r="C84" s="22"/>
      <c r="D84" s="30"/>
      <c r="E84" s="49"/>
      <c r="F84" s="49"/>
      <c r="G84" s="12"/>
      <c r="H84" s="41"/>
      <c r="I84" s="41">
        <f>SUM(I77:I83)</f>
        <v>9391.2666666666664</v>
      </c>
      <c r="J84" s="13"/>
      <c r="L84" s="2"/>
    </row>
    <row r="85" spans="1:12" ht="18.75" x14ac:dyDescent="0.3">
      <c r="A85" s="72" t="s">
        <v>72</v>
      </c>
      <c r="B85" s="73"/>
      <c r="C85" s="73"/>
      <c r="D85" s="73"/>
      <c r="E85" s="73"/>
      <c r="F85" s="73"/>
      <c r="G85" s="74"/>
      <c r="H85" s="19"/>
      <c r="I85" s="5"/>
      <c r="J85" s="13"/>
      <c r="L85" s="2"/>
    </row>
    <row r="86" spans="1:12" ht="37.5" x14ac:dyDescent="0.25">
      <c r="A86" s="9" t="s">
        <v>97</v>
      </c>
      <c r="B86" s="8"/>
      <c r="C86" s="4"/>
      <c r="D86" s="4" t="s">
        <v>127</v>
      </c>
      <c r="E86" s="31"/>
      <c r="F86" s="13">
        <f>6+1+2+2+2+1+1+6+2+1+1</f>
        <v>25</v>
      </c>
      <c r="G86" s="13" t="s">
        <v>114</v>
      </c>
      <c r="H86" s="33">
        <f>(4212.2+702.4+1402.8+1412.8+1412.6+734+734+4405.2+1486.6+742.2+742.2)/F86/3</f>
        <v>239.82666666666668</v>
      </c>
      <c r="I86" s="33">
        <f t="shared" ref="I86:I87" si="7">F86*H86</f>
        <v>5995.666666666667</v>
      </c>
      <c r="J86" s="13" t="s">
        <v>115</v>
      </c>
      <c r="L86" s="2"/>
    </row>
    <row r="87" spans="1:12" ht="18.75" x14ac:dyDescent="0.25">
      <c r="A87" s="9"/>
      <c r="B87" s="8"/>
      <c r="C87" s="4"/>
      <c r="D87" s="4" t="s">
        <v>113</v>
      </c>
      <c r="E87" s="41"/>
      <c r="F87" s="41">
        <f>14+6+6+3+3+6+6+9</f>
        <v>53</v>
      </c>
      <c r="G87" s="13" t="s">
        <v>30</v>
      </c>
      <c r="H87" s="46">
        <f>(4681+2003.4+2037.2+1018.6+1018.6+2123.4+2146.6+3223.2)/F87</f>
        <v>344.37735849056605</v>
      </c>
      <c r="I87" s="41">
        <f t="shared" si="7"/>
        <v>18252</v>
      </c>
      <c r="J87" s="13" t="s">
        <v>115</v>
      </c>
      <c r="L87" s="2"/>
    </row>
    <row r="88" spans="1:12" ht="18.75" x14ac:dyDescent="0.25">
      <c r="A88" s="9"/>
      <c r="B88" s="8"/>
      <c r="C88" s="4"/>
      <c r="D88" s="4" t="s">
        <v>147</v>
      </c>
      <c r="E88" s="41" t="s">
        <v>137</v>
      </c>
      <c r="F88" s="41" t="s">
        <v>137</v>
      </c>
      <c r="G88" s="13" t="s">
        <v>30</v>
      </c>
      <c r="H88" s="41"/>
      <c r="I88" s="41" t="s">
        <v>137</v>
      </c>
      <c r="J88" s="13"/>
      <c r="L88" s="2"/>
    </row>
    <row r="89" spans="1:12" ht="18.75" x14ac:dyDescent="0.25">
      <c r="A89" s="9"/>
      <c r="B89" s="8"/>
      <c r="C89" s="4"/>
      <c r="D89" s="4" t="s">
        <v>156</v>
      </c>
      <c r="E89" s="41" t="s">
        <v>137</v>
      </c>
      <c r="F89" s="41" t="s">
        <v>137</v>
      </c>
      <c r="G89" s="13" t="s">
        <v>134</v>
      </c>
      <c r="H89" s="41"/>
      <c r="I89" s="41" t="s">
        <v>137</v>
      </c>
      <c r="J89" s="13"/>
      <c r="L89" s="2"/>
    </row>
    <row r="90" spans="1:12" ht="18.75" x14ac:dyDescent="0.25">
      <c r="A90" s="9"/>
      <c r="B90" s="8"/>
      <c r="C90" s="4"/>
      <c r="D90" s="4" t="s">
        <v>157</v>
      </c>
      <c r="E90" s="41" t="s">
        <v>137</v>
      </c>
      <c r="F90" s="41" t="s">
        <v>137</v>
      </c>
      <c r="G90" s="13" t="s">
        <v>134</v>
      </c>
      <c r="H90" s="41"/>
      <c r="I90" s="41" t="s">
        <v>137</v>
      </c>
      <c r="J90" s="13"/>
      <c r="L90" s="2"/>
    </row>
    <row r="91" spans="1:12" ht="18.75" x14ac:dyDescent="0.25">
      <c r="A91" s="9" t="s">
        <v>22</v>
      </c>
      <c r="B91" s="8"/>
      <c r="C91" s="4"/>
      <c r="D91" s="4" t="s">
        <v>75</v>
      </c>
      <c r="E91" s="41" t="s">
        <v>137</v>
      </c>
      <c r="F91" s="41" t="s">
        <v>137</v>
      </c>
      <c r="G91" s="13" t="s">
        <v>30</v>
      </c>
      <c r="H91" s="41"/>
      <c r="I91" s="41" t="s">
        <v>137</v>
      </c>
      <c r="J91" s="13"/>
      <c r="L91" s="2"/>
    </row>
    <row r="92" spans="1:12" ht="18.75" x14ac:dyDescent="0.25">
      <c r="A92" s="50"/>
      <c r="B92" s="51"/>
      <c r="C92" s="22"/>
      <c r="D92" s="22"/>
      <c r="E92" s="49"/>
      <c r="F92" s="49"/>
      <c r="G92" s="31"/>
      <c r="H92" s="41"/>
      <c r="I92" s="46">
        <f>SUM(I86:I91)</f>
        <v>24247.666666666668</v>
      </c>
      <c r="J92" s="13"/>
      <c r="L92" s="2"/>
    </row>
    <row r="93" spans="1:12" ht="18.75" x14ac:dyDescent="0.3">
      <c r="A93" s="72" t="s">
        <v>77</v>
      </c>
      <c r="B93" s="73"/>
      <c r="C93" s="73"/>
      <c r="D93" s="73"/>
      <c r="E93" s="73"/>
      <c r="F93" s="73"/>
      <c r="G93" s="74"/>
      <c r="H93" s="5"/>
      <c r="I93" s="5"/>
      <c r="J93" s="13"/>
      <c r="L93" s="2"/>
    </row>
    <row r="94" spans="1:12" ht="38.25" customHeight="1" x14ac:dyDescent="0.25">
      <c r="A94" s="9" t="s">
        <v>23</v>
      </c>
      <c r="B94" s="5"/>
      <c r="C94" s="4"/>
      <c r="D94" s="15" t="s">
        <v>139</v>
      </c>
      <c r="E94" s="41"/>
      <c r="F94" s="41"/>
      <c r="G94" s="13" t="s">
        <v>53</v>
      </c>
      <c r="H94" s="41"/>
      <c r="I94" s="41"/>
      <c r="J94" s="13"/>
      <c r="L94" s="2"/>
    </row>
    <row r="95" spans="1:12" ht="18.75" x14ac:dyDescent="0.25">
      <c r="A95" s="9" t="s">
        <v>24</v>
      </c>
      <c r="B95" s="5"/>
      <c r="C95" s="4"/>
      <c r="D95" s="4" t="s">
        <v>76</v>
      </c>
      <c r="E95" s="41" t="s">
        <v>137</v>
      </c>
      <c r="F95" s="41" t="s">
        <v>137</v>
      </c>
      <c r="G95" s="13" t="s">
        <v>53</v>
      </c>
      <c r="H95" s="41"/>
      <c r="I95" s="41" t="s">
        <v>137</v>
      </c>
      <c r="J95" s="13"/>
      <c r="L95" s="2"/>
    </row>
    <row r="96" spans="1:12" ht="31.5" x14ac:dyDescent="0.25">
      <c r="A96" s="9" t="s">
        <v>125</v>
      </c>
      <c r="B96" s="5"/>
      <c r="C96" s="4"/>
      <c r="D96" s="15" t="s">
        <v>163</v>
      </c>
      <c r="E96" s="41"/>
      <c r="F96" s="41"/>
      <c r="G96" s="13" t="s">
        <v>53</v>
      </c>
      <c r="H96" s="41"/>
      <c r="I96" s="41"/>
      <c r="J96" s="13"/>
      <c r="L96" s="2"/>
    </row>
    <row r="97" spans="1:12" ht="18.75" x14ac:dyDescent="0.25">
      <c r="A97" s="9"/>
      <c r="B97" s="5"/>
      <c r="C97" s="4"/>
      <c r="D97" s="15" t="s">
        <v>154</v>
      </c>
      <c r="E97" s="41"/>
      <c r="F97" s="41">
        <f>1</f>
        <v>1</v>
      </c>
      <c r="G97" s="13" t="s">
        <v>53</v>
      </c>
      <c r="H97" s="46">
        <f>82/F97</f>
        <v>82</v>
      </c>
      <c r="I97" s="41">
        <f>F97*H97</f>
        <v>82</v>
      </c>
      <c r="J97" s="13" t="s">
        <v>115</v>
      </c>
      <c r="L97" s="2"/>
    </row>
    <row r="98" spans="1:12" ht="18.75" x14ac:dyDescent="0.25">
      <c r="A98" s="9"/>
      <c r="B98" s="5"/>
      <c r="C98" s="4"/>
      <c r="D98" s="15" t="s">
        <v>106</v>
      </c>
      <c r="E98" s="32"/>
      <c r="F98" s="13">
        <f>1+2+1+1+1+1+1+1</f>
        <v>9</v>
      </c>
      <c r="G98" s="13" t="s">
        <v>53</v>
      </c>
      <c r="H98" s="33">
        <f>(208.4+414.8+208.2+170+70.4+172+172+172.2)/F98</f>
        <v>176.44444444444446</v>
      </c>
      <c r="I98" s="13">
        <f t="shared" ref="I98" si="8">F98*H98</f>
        <v>1588</v>
      </c>
      <c r="J98" s="13" t="s">
        <v>115</v>
      </c>
      <c r="L98" s="2"/>
    </row>
    <row r="99" spans="1:12" ht="18.75" x14ac:dyDescent="0.25">
      <c r="A99" s="9"/>
      <c r="B99" s="5"/>
      <c r="C99" s="4"/>
      <c r="D99" s="15" t="s">
        <v>138</v>
      </c>
      <c r="E99" s="41"/>
      <c r="F99" s="41"/>
      <c r="G99" s="13" t="s">
        <v>31</v>
      </c>
      <c r="H99" s="41"/>
      <c r="I99" s="41" t="s">
        <v>137</v>
      </c>
      <c r="J99" s="13"/>
      <c r="L99" s="2"/>
    </row>
    <row r="100" spans="1:12" ht="56.25" x14ac:dyDescent="0.25">
      <c r="A100" s="9" t="s">
        <v>107</v>
      </c>
      <c r="B100" s="5"/>
      <c r="C100" s="4"/>
      <c r="D100" s="15" t="s">
        <v>123</v>
      </c>
      <c r="E100" s="32"/>
      <c r="F100" s="13">
        <f>12+12+12+12+12+12+12+12+12+12+12+12</f>
        <v>144</v>
      </c>
      <c r="G100" s="13" t="s">
        <v>108</v>
      </c>
      <c r="H100" s="33">
        <f>(527.4+527.4+527.4+528.4+528.4+528.4+550.8+550.8+550.8+558+558+558)/F100</f>
        <v>45.095833333333331</v>
      </c>
      <c r="I100" s="13">
        <f>F100*H100</f>
        <v>6493.7999999999993</v>
      </c>
      <c r="J100" s="13" t="s">
        <v>115</v>
      </c>
      <c r="L100" s="2"/>
    </row>
    <row r="101" spans="1:12" ht="18.75" x14ac:dyDescent="0.25">
      <c r="A101" s="50"/>
      <c r="B101" s="22"/>
      <c r="C101" s="22"/>
      <c r="D101" s="30"/>
      <c r="E101" s="52"/>
      <c r="F101" s="53"/>
      <c r="G101" s="31"/>
      <c r="H101" s="31"/>
      <c r="I101" s="13">
        <f>SUM(I94:I100)</f>
        <v>8163.7999999999993</v>
      </c>
      <c r="J101" s="13"/>
      <c r="L101" s="2"/>
    </row>
    <row r="102" spans="1:12" ht="18.75" x14ac:dyDescent="0.25">
      <c r="A102" s="79" t="s">
        <v>90</v>
      </c>
      <c r="B102" s="80"/>
      <c r="C102" s="80"/>
      <c r="D102" s="80"/>
      <c r="E102" s="80"/>
      <c r="F102" s="80"/>
      <c r="G102" s="81"/>
      <c r="H102" s="12"/>
      <c r="I102" s="5"/>
      <c r="J102" s="13"/>
      <c r="L102" s="2"/>
    </row>
    <row r="103" spans="1:12" ht="18.75" x14ac:dyDescent="0.25">
      <c r="A103" s="26"/>
      <c r="B103" s="27"/>
      <c r="C103" s="27"/>
      <c r="D103" s="36" t="s">
        <v>116</v>
      </c>
      <c r="E103" s="41"/>
      <c r="F103" s="41"/>
      <c r="G103" s="38" t="s">
        <v>31</v>
      </c>
      <c r="H103" s="41"/>
      <c r="I103" s="41"/>
      <c r="J103" s="13"/>
      <c r="L103" s="2"/>
    </row>
    <row r="104" spans="1:12" ht="63" x14ac:dyDescent="0.25">
      <c r="A104" s="9" t="s">
        <v>88</v>
      </c>
      <c r="B104" s="22"/>
      <c r="C104" s="22"/>
      <c r="D104" s="23" t="s">
        <v>118</v>
      </c>
      <c r="E104" s="37">
        <v>80</v>
      </c>
      <c r="F104" s="13">
        <v>80</v>
      </c>
      <c r="G104" s="31" t="s">
        <v>89</v>
      </c>
      <c r="H104" s="31">
        <v>4.8</v>
      </c>
      <c r="I104" s="13">
        <f>F104*H104*12</f>
        <v>4608</v>
      </c>
      <c r="J104" s="13" t="s">
        <v>115</v>
      </c>
      <c r="L104" s="2"/>
    </row>
    <row r="105" spans="1:12" ht="18.75" x14ac:dyDescent="0.25">
      <c r="A105" s="50"/>
      <c r="B105" s="22"/>
      <c r="C105" s="22"/>
      <c r="D105" s="30"/>
      <c r="E105" s="52"/>
      <c r="F105" s="53"/>
      <c r="G105" s="31"/>
      <c r="H105" s="31"/>
      <c r="I105" s="13">
        <f>SUM(I103:I104)</f>
        <v>4608</v>
      </c>
      <c r="J105" s="13"/>
      <c r="L105" s="2"/>
    </row>
    <row r="106" spans="1:12" ht="18.75" x14ac:dyDescent="0.3">
      <c r="A106" s="72" t="s">
        <v>78</v>
      </c>
      <c r="B106" s="73"/>
      <c r="C106" s="73"/>
      <c r="D106" s="73"/>
      <c r="E106" s="73"/>
      <c r="F106" s="73"/>
      <c r="G106" s="74"/>
      <c r="H106" s="19"/>
      <c r="I106" s="5"/>
      <c r="J106" s="13"/>
      <c r="L106" s="2"/>
    </row>
    <row r="107" spans="1:12" ht="46.5" customHeight="1" x14ac:dyDescent="0.3">
      <c r="A107" s="34" t="s">
        <v>129</v>
      </c>
      <c r="B107" s="24"/>
      <c r="C107" s="24"/>
      <c r="D107" s="47" t="s">
        <v>161</v>
      </c>
      <c r="E107" s="31">
        <v>26</v>
      </c>
      <c r="F107" s="31">
        <v>26</v>
      </c>
      <c r="G107" s="13" t="s">
        <v>136</v>
      </c>
      <c r="H107" s="31">
        <v>76.900000000000006</v>
      </c>
      <c r="I107" s="31">
        <f>F107*H107*4</f>
        <v>7997.6</v>
      </c>
      <c r="J107" s="13" t="s">
        <v>115</v>
      </c>
      <c r="L107" s="2"/>
    </row>
    <row r="108" spans="1:12" ht="46.5" customHeight="1" x14ac:dyDescent="0.3">
      <c r="A108" s="34"/>
      <c r="B108" s="24"/>
      <c r="C108" s="45"/>
      <c r="D108" s="35" t="s">
        <v>128</v>
      </c>
      <c r="E108" s="31">
        <v>26</v>
      </c>
      <c r="F108" s="31">
        <v>26</v>
      </c>
      <c r="G108" s="13" t="s">
        <v>136</v>
      </c>
      <c r="H108" s="31">
        <v>26</v>
      </c>
      <c r="I108" s="31">
        <f>F108*H108*4</f>
        <v>2704</v>
      </c>
      <c r="J108" s="13" t="s">
        <v>115</v>
      </c>
      <c r="L108" s="2"/>
    </row>
    <row r="109" spans="1:12" ht="18.75" x14ac:dyDescent="0.25">
      <c r="A109" s="9" t="s">
        <v>25</v>
      </c>
      <c r="B109" s="5"/>
      <c r="C109" s="4"/>
      <c r="D109" s="4" t="s">
        <v>74</v>
      </c>
      <c r="E109" s="41" t="s">
        <v>137</v>
      </c>
      <c r="F109" s="41" t="s">
        <v>137</v>
      </c>
      <c r="G109" s="14" t="s">
        <v>53</v>
      </c>
      <c r="H109" s="41" t="s">
        <v>137</v>
      </c>
      <c r="I109" s="41" t="s">
        <v>137</v>
      </c>
      <c r="J109" s="13"/>
      <c r="L109" s="2"/>
    </row>
    <row r="110" spans="1:12" ht="47.25" x14ac:dyDescent="0.25">
      <c r="A110" s="9" t="s">
        <v>26</v>
      </c>
      <c r="B110" s="5"/>
      <c r="C110" s="4"/>
      <c r="D110" s="15" t="s">
        <v>28</v>
      </c>
      <c r="E110" s="41" t="s">
        <v>137</v>
      </c>
      <c r="F110" s="41" t="s">
        <v>137</v>
      </c>
      <c r="G110" s="14" t="s">
        <v>53</v>
      </c>
      <c r="H110" s="41" t="s">
        <v>137</v>
      </c>
      <c r="I110" s="41" t="s">
        <v>137</v>
      </c>
      <c r="J110" s="13"/>
      <c r="L110" s="2"/>
    </row>
    <row r="111" spans="1:12" ht="31.5" x14ac:dyDescent="0.25">
      <c r="A111" s="9" t="s">
        <v>27</v>
      </c>
      <c r="B111" s="5"/>
      <c r="C111" s="4"/>
      <c r="D111" s="15" t="s">
        <v>73</v>
      </c>
      <c r="E111" s="41" t="s">
        <v>137</v>
      </c>
      <c r="F111" s="41" t="s">
        <v>137</v>
      </c>
      <c r="G111" s="14" t="s">
        <v>53</v>
      </c>
      <c r="H111" s="41" t="s">
        <v>137</v>
      </c>
      <c r="I111" s="41" t="s">
        <v>137</v>
      </c>
      <c r="J111" s="13"/>
      <c r="L111" s="2"/>
    </row>
    <row r="112" spans="1:12" ht="18.75" x14ac:dyDescent="0.25">
      <c r="A112" s="50"/>
      <c r="B112" s="22"/>
      <c r="C112" s="22"/>
      <c r="D112" s="30"/>
      <c r="E112" s="49"/>
      <c r="F112" s="49"/>
      <c r="G112" s="12"/>
      <c r="H112" s="54"/>
      <c r="I112" s="54">
        <f>SUM(I107:I111)</f>
        <v>10701.6</v>
      </c>
      <c r="J112" s="55"/>
      <c r="L112" s="2"/>
    </row>
    <row r="113" spans="1:12" ht="18.75" x14ac:dyDescent="0.3">
      <c r="A113" s="72" t="s">
        <v>83</v>
      </c>
      <c r="B113" s="73"/>
      <c r="C113" s="73"/>
      <c r="D113" s="73"/>
      <c r="E113" s="73"/>
      <c r="F113" s="73"/>
      <c r="G113" s="74"/>
      <c r="H113" s="2"/>
      <c r="I113" s="2"/>
      <c r="J113" s="2"/>
      <c r="K113" s="2"/>
      <c r="L113" s="2"/>
    </row>
    <row r="114" spans="1:12" ht="48" x14ac:dyDescent="0.3">
      <c r="A114" s="6" t="s">
        <v>65</v>
      </c>
      <c r="B114" s="6"/>
      <c r="C114" s="4"/>
      <c r="D114" s="15" t="s">
        <v>84</v>
      </c>
      <c r="E114" s="41"/>
      <c r="F114" s="41"/>
      <c r="G114" s="13" t="s">
        <v>112</v>
      </c>
      <c r="H114" s="41"/>
      <c r="I114" s="46">
        <f>F114*H114</f>
        <v>0</v>
      </c>
      <c r="J114" s="13" t="s">
        <v>121</v>
      </c>
      <c r="L114" s="2"/>
    </row>
    <row r="115" spans="1:12" ht="18.75" x14ac:dyDescent="0.3">
      <c r="A115" s="28"/>
      <c r="B115" s="29"/>
      <c r="C115" s="22"/>
      <c r="D115" s="40" t="s">
        <v>185</v>
      </c>
      <c r="E115" s="68"/>
      <c r="F115" s="41">
        <v>1.17</v>
      </c>
      <c r="G115" s="13" t="s">
        <v>112</v>
      </c>
      <c r="H115" s="46">
        <f>890.2/F115</f>
        <v>760.85470085470092</v>
      </c>
      <c r="I115" s="63">
        <f>F115*H115</f>
        <v>890.2</v>
      </c>
      <c r="J115" s="13" t="s">
        <v>120</v>
      </c>
      <c r="L115" s="2"/>
    </row>
    <row r="116" spans="1:12" ht="32.25" x14ac:dyDescent="0.3">
      <c r="A116" s="28"/>
      <c r="B116" s="29"/>
      <c r="C116" s="22"/>
      <c r="D116" s="40" t="s">
        <v>109</v>
      </c>
      <c r="E116" s="68">
        <v>1</v>
      </c>
      <c r="F116" s="41">
        <v>1</v>
      </c>
      <c r="G116" s="13" t="s">
        <v>110</v>
      </c>
      <c r="H116" s="41">
        <v>5325</v>
      </c>
      <c r="I116" s="44">
        <f>F116*H116</f>
        <v>5325</v>
      </c>
      <c r="J116" s="39" t="s">
        <v>117</v>
      </c>
      <c r="L116" s="2"/>
    </row>
    <row r="117" spans="1:12" ht="18.75" x14ac:dyDescent="0.3">
      <c r="A117" s="28"/>
      <c r="B117" s="29"/>
      <c r="C117" s="22"/>
      <c r="D117" s="30"/>
      <c r="E117" s="49"/>
      <c r="F117" s="49"/>
      <c r="G117" s="31"/>
      <c r="H117" s="49"/>
      <c r="I117" s="57">
        <f>SUM(I114:I116)</f>
        <v>6215.2</v>
      </c>
      <c r="J117" s="56"/>
      <c r="L117" s="2"/>
    </row>
    <row r="118" spans="1:12" ht="18.75" x14ac:dyDescent="0.3">
      <c r="A118" s="72" t="s">
        <v>98</v>
      </c>
      <c r="B118" s="73"/>
      <c r="C118" s="73"/>
      <c r="D118" s="73"/>
      <c r="E118" s="73"/>
      <c r="F118" s="73"/>
      <c r="G118" s="74"/>
      <c r="H118" s="72"/>
      <c r="I118" s="73"/>
      <c r="J118" s="73"/>
      <c r="L118" s="2"/>
    </row>
    <row r="119" spans="1:12" ht="32.25" x14ac:dyDescent="0.3">
      <c r="A119" s="34" t="s">
        <v>144</v>
      </c>
      <c r="B119" s="24"/>
      <c r="C119" s="24"/>
      <c r="D119" s="40" t="s">
        <v>131</v>
      </c>
      <c r="E119" s="13"/>
      <c r="F119" s="13"/>
      <c r="G119" s="13" t="s">
        <v>132</v>
      </c>
      <c r="H119" s="13"/>
      <c r="I119" s="64"/>
      <c r="J119" s="13"/>
      <c r="L119" s="2"/>
    </row>
    <row r="120" spans="1:12" ht="48" x14ac:dyDescent="0.3">
      <c r="A120" s="24"/>
      <c r="B120" s="24"/>
      <c r="C120" s="24"/>
      <c r="D120" s="40" t="s">
        <v>133</v>
      </c>
      <c r="E120" s="41"/>
      <c r="F120" s="41">
        <f>35</f>
        <v>35</v>
      </c>
      <c r="G120" s="13" t="s">
        <v>134</v>
      </c>
      <c r="H120" s="41">
        <f>24500/F120</f>
        <v>700</v>
      </c>
      <c r="I120" s="63">
        <f>F120*H120</f>
        <v>24500</v>
      </c>
      <c r="J120" s="13" t="s">
        <v>122</v>
      </c>
      <c r="L120" s="2"/>
    </row>
    <row r="121" spans="1:12" ht="32.25" x14ac:dyDescent="0.3">
      <c r="A121" s="24"/>
      <c r="B121" s="24"/>
      <c r="C121" s="24"/>
      <c r="D121" s="40" t="s">
        <v>171</v>
      </c>
      <c r="E121" s="13"/>
      <c r="F121" s="13">
        <f>275</f>
        <v>275</v>
      </c>
      <c r="G121" s="13" t="s">
        <v>135</v>
      </c>
      <c r="H121" s="33">
        <f>12603/F121</f>
        <v>45.829090909090908</v>
      </c>
      <c r="I121" s="64">
        <f t="shared" ref="I121:I122" si="9">F121*H121</f>
        <v>12603</v>
      </c>
      <c r="J121" s="13" t="s">
        <v>122</v>
      </c>
      <c r="L121" s="2"/>
    </row>
    <row r="122" spans="1:12" ht="32.25" x14ac:dyDescent="0.3">
      <c r="A122" s="24"/>
      <c r="B122" s="24"/>
      <c r="C122" s="24"/>
      <c r="D122" s="40" t="s">
        <v>172</v>
      </c>
      <c r="E122" s="13"/>
      <c r="F122" s="13">
        <f>12+70+20</f>
        <v>102</v>
      </c>
      <c r="G122" s="13" t="s">
        <v>135</v>
      </c>
      <c r="H122" s="33">
        <f>(500+3208+917)/F122</f>
        <v>45.343137254901961</v>
      </c>
      <c r="I122" s="64">
        <f t="shared" si="9"/>
        <v>4625</v>
      </c>
      <c r="J122" s="13" t="s">
        <v>122</v>
      </c>
      <c r="L122" s="2"/>
    </row>
    <row r="123" spans="1:12" ht="32.25" x14ac:dyDescent="0.3">
      <c r="A123" s="24"/>
      <c r="B123" s="24"/>
      <c r="C123" s="24"/>
      <c r="D123" s="40" t="s">
        <v>173</v>
      </c>
      <c r="E123" s="13"/>
      <c r="F123" s="13"/>
      <c r="G123" s="13" t="s">
        <v>112</v>
      </c>
      <c r="H123" s="33"/>
      <c r="I123" s="64"/>
      <c r="J123" s="13"/>
      <c r="L123" s="2"/>
    </row>
    <row r="124" spans="1:12" ht="48" x14ac:dyDescent="0.3">
      <c r="A124" s="24"/>
      <c r="B124" s="24"/>
      <c r="C124" s="24"/>
      <c r="D124" s="40" t="s">
        <v>174</v>
      </c>
      <c r="E124" s="13"/>
      <c r="F124" s="13">
        <v>19.5</v>
      </c>
      <c r="G124" s="13" t="s">
        <v>112</v>
      </c>
      <c r="H124" s="33">
        <f>12272.8/F124</f>
        <v>629.37435897435898</v>
      </c>
      <c r="I124" s="64">
        <f t="shared" ref="I124:I128" si="10">F124*H124</f>
        <v>12272.8</v>
      </c>
      <c r="J124" s="13" t="s">
        <v>121</v>
      </c>
      <c r="L124" s="2"/>
    </row>
    <row r="125" spans="1:12" ht="32.25" x14ac:dyDescent="0.3">
      <c r="A125" s="24"/>
      <c r="B125" s="24"/>
      <c r="C125" s="24"/>
      <c r="D125" s="40" t="s">
        <v>175</v>
      </c>
      <c r="E125" s="13"/>
      <c r="F125" s="13"/>
      <c r="G125" s="13" t="s">
        <v>31</v>
      </c>
      <c r="H125" s="13"/>
      <c r="I125" s="64"/>
      <c r="J125" s="13"/>
      <c r="L125" s="2"/>
    </row>
    <row r="126" spans="1:12" ht="18.75" x14ac:dyDescent="0.3">
      <c r="A126" s="24"/>
      <c r="B126" s="24"/>
      <c r="C126" s="24"/>
      <c r="D126" s="40" t="s">
        <v>184</v>
      </c>
      <c r="E126" s="13"/>
      <c r="F126" s="13">
        <v>2E-3</v>
      </c>
      <c r="G126" s="13" t="s">
        <v>134</v>
      </c>
      <c r="H126" s="13">
        <f>629.4/F126</f>
        <v>314700</v>
      </c>
      <c r="I126" s="64">
        <f t="shared" si="10"/>
        <v>629.4</v>
      </c>
      <c r="J126" s="13" t="s">
        <v>121</v>
      </c>
      <c r="L126" s="2"/>
    </row>
    <row r="127" spans="1:12" ht="32.25" x14ac:dyDescent="0.3">
      <c r="A127" s="24"/>
      <c r="B127" s="24"/>
      <c r="C127" s="24"/>
      <c r="D127" s="40" t="s">
        <v>183</v>
      </c>
      <c r="E127" s="13"/>
      <c r="F127" s="13">
        <f>6</f>
        <v>6</v>
      </c>
      <c r="G127" s="13" t="s">
        <v>134</v>
      </c>
      <c r="H127" s="33">
        <f>48238.4/F127</f>
        <v>8039.7333333333336</v>
      </c>
      <c r="I127" s="64">
        <f t="shared" si="10"/>
        <v>48238.400000000001</v>
      </c>
      <c r="J127" s="13" t="s">
        <v>121</v>
      </c>
      <c r="L127" s="2"/>
    </row>
    <row r="128" spans="1:12" ht="18.75" x14ac:dyDescent="0.3">
      <c r="A128" s="24"/>
      <c r="B128" s="24"/>
      <c r="C128" s="24"/>
      <c r="D128" s="40" t="s">
        <v>188</v>
      </c>
      <c r="E128" s="13"/>
      <c r="F128" s="13">
        <v>16</v>
      </c>
      <c r="G128" s="13" t="s">
        <v>134</v>
      </c>
      <c r="H128" s="33">
        <f>14549/F128</f>
        <v>909.3125</v>
      </c>
      <c r="I128" s="64">
        <f t="shared" si="10"/>
        <v>14549</v>
      </c>
      <c r="J128" s="13" t="s">
        <v>121</v>
      </c>
      <c r="L128" s="2"/>
    </row>
    <row r="129" spans="1:12" ht="18.75" x14ac:dyDescent="0.3">
      <c r="A129" s="34" t="s">
        <v>149</v>
      </c>
      <c r="B129" s="14"/>
      <c r="C129" s="14"/>
      <c r="D129" s="40" t="s">
        <v>179</v>
      </c>
      <c r="E129" s="13"/>
      <c r="F129" s="13"/>
      <c r="G129" s="13" t="s">
        <v>31</v>
      </c>
      <c r="H129" s="13"/>
      <c r="I129" s="61"/>
      <c r="J129" s="14"/>
      <c r="L129" s="2"/>
    </row>
    <row r="130" spans="1:12" ht="18.75" x14ac:dyDescent="0.3">
      <c r="A130" s="34"/>
      <c r="B130" s="14"/>
      <c r="C130" s="14"/>
      <c r="D130" s="40"/>
      <c r="E130" s="13"/>
      <c r="F130" s="13"/>
      <c r="G130" s="13"/>
      <c r="H130" s="13"/>
      <c r="I130" s="64">
        <f>SUM(I119:I129)</f>
        <v>117417.60000000001</v>
      </c>
      <c r="J130" s="14"/>
      <c r="L130" s="2"/>
    </row>
    <row r="131" spans="1:12" ht="18.75" x14ac:dyDescent="0.3">
      <c r="A131" s="34" t="s">
        <v>182</v>
      </c>
      <c r="B131" s="14"/>
      <c r="C131" s="14"/>
      <c r="D131" s="43"/>
      <c r="E131" s="14"/>
      <c r="F131" s="14"/>
      <c r="G131" s="38"/>
      <c r="H131" s="14"/>
      <c r="I131" s="65">
        <f>I6+I7+I8+I15+I25+I31+I40+I41+I42+I43+I44+I51+I60+I61+I62+I64+I78+I79+I80+I82+I115+I119+I120+I121+I122+I123+I124+I125+I126+I127+I128+I129</f>
        <v>290706.00000000006</v>
      </c>
      <c r="J131" s="14"/>
      <c r="L131" s="2"/>
    </row>
    <row r="132" spans="1:12" ht="15.75" x14ac:dyDescent="0.25">
      <c r="A132" s="58" t="s">
        <v>170</v>
      </c>
      <c r="B132" s="25"/>
      <c r="C132" s="25"/>
      <c r="D132" s="43"/>
      <c r="E132" s="13"/>
      <c r="F132" s="13"/>
      <c r="G132" s="38"/>
      <c r="H132" s="13"/>
      <c r="I132" s="59">
        <f>I19+I38+I54+I69+I75+I92+I101+I105+I112+I117+I130</f>
        <v>413518.46666666667</v>
      </c>
      <c r="J132" s="14"/>
      <c r="K132" s="2"/>
      <c r="L132" s="2"/>
    </row>
    <row r="133" spans="1:12" ht="99.75" customHeight="1" x14ac:dyDescent="0.25">
      <c r="A133" s="69" t="s">
        <v>105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2"/>
      <c r="L133" s="2"/>
    </row>
    <row r="134" spans="1:12" ht="15.75" x14ac:dyDescent="0.25">
      <c r="A134" s="2"/>
      <c r="B134" s="2"/>
      <c r="C134" s="2"/>
      <c r="D134" s="16"/>
      <c r="E134" s="2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2"/>
      <c r="F135" s="66"/>
      <c r="G135" s="2"/>
      <c r="H135" s="2"/>
      <c r="I135" s="66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2"/>
      <c r="F136" s="66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2"/>
      <c r="F137" s="66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</sheetData>
  <mergeCells count="16">
    <mergeCell ref="A133:J133"/>
    <mergeCell ref="A2:J2"/>
    <mergeCell ref="A118:G118"/>
    <mergeCell ref="H118:J118"/>
    <mergeCell ref="I1:J1"/>
    <mergeCell ref="A76:G76"/>
    <mergeCell ref="A93:G93"/>
    <mergeCell ref="A113:G113"/>
    <mergeCell ref="A39:G39"/>
    <mergeCell ref="A20:G20"/>
    <mergeCell ref="A4:G4"/>
    <mergeCell ref="A102:G102"/>
    <mergeCell ref="A55:G55"/>
    <mergeCell ref="A70:G70"/>
    <mergeCell ref="A85:G85"/>
    <mergeCell ref="A106:G106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2025-01-31T05:38:27Z</cp:lastPrinted>
  <dcterms:created xsi:type="dcterms:W3CDTF">2017-05-29T12:14:13Z</dcterms:created>
  <dcterms:modified xsi:type="dcterms:W3CDTF">2025-03-14T04:55:35Z</dcterms:modified>
</cp:coreProperties>
</file>